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inj\Downloads\"/>
    </mc:Choice>
  </mc:AlternateContent>
  <xr:revisionPtr revIDLastSave="0" documentId="13_ncr:1_{EFCEEC43-1CC7-414D-895F-982256A42B73}" xr6:coauthVersionLast="47" xr6:coauthVersionMax="47" xr10:uidLastSave="{00000000-0000-0000-0000-000000000000}"/>
  <bookViews>
    <workbookView xWindow="-110" yWindow="-110" windowWidth="19420" windowHeight="10300" activeTab="1" xr2:uid="{3967514B-1A67-4A54-BC70-2809317E9D1C}"/>
  </bookViews>
  <sheets>
    <sheet name="LM Studio" sheetId="1" r:id="rId1"/>
    <sheet name="OpenWebUI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G15" i="2"/>
  <c r="G14" i="2"/>
  <c r="G13" i="2"/>
  <c r="G12" i="2"/>
  <c r="G9" i="2"/>
  <c r="G8" i="2"/>
  <c r="G7" i="2"/>
  <c r="G6" i="2"/>
  <c r="F9" i="2"/>
  <c r="F8" i="2"/>
  <c r="F7" i="2"/>
  <c r="F6" i="2"/>
  <c r="F170" i="2"/>
  <c r="F169" i="2"/>
  <c r="F168" i="2"/>
  <c r="F167" i="2"/>
  <c r="G170" i="2"/>
  <c r="G167" i="2"/>
  <c r="G168" i="2"/>
  <c r="G169" i="2"/>
  <c r="G166" i="2"/>
  <c r="F166" i="2"/>
  <c r="F83" i="2"/>
  <c r="G83" i="2"/>
  <c r="F93" i="2"/>
  <c r="F92" i="2"/>
  <c r="F91" i="2"/>
  <c r="F97" i="2"/>
  <c r="G97" i="2"/>
  <c r="F89" i="2"/>
  <c r="F90" i="2"/>
  <c r="G90" i="2"/>
  <c r="G76" i="2"/>
  <c r="F76" i="2"/>
  <c r="F191" i="2"/>
  <c r="G191" i="2"/>
  <c r="G190" i="2"/>
  <c r="F189" i="2"/>
  <c r="G189" i="2"/>
  <c r="F190" i="2"/>
  <c r="G187" i="2"/>
  <c r="F198" i="2"/>
  <c r="F197" i="2"/>
  <c r="F196" i="2"/>
  <c r="G198" i="2"/>
  <c r="G197" i="2"/>
  <c r="G196" i="2"/>
  <c r="G195" i="2"/>
  <c r="F163" i="2"/>
  <c r="G162" i="2"/>
  <c r="F162" i="2"/>
  <c r="F161" i="2"/>
  <c r="G160" i="2"/>
  <c r="F160" i="2"/>
  <c r="G159" i="2"/>
  <c r="F159" i="2"/>
  <c r="G163" i="2"/>
  <c r="G161" i="2"/>
  <c r="G89" i="2"/>
  <c r="G86" i="2"/>
  <c r="G100" i="2"/>
  <c r="G85" i="2"/>
  <c r="G84" i="2"/>
  <c r="F86" i="2"/>
  <c r="F84" i="2"/>
  <c r="G82" i="2"/>
  <c r="F82" i="2"/>
  <c r="G79" i="2"/>
  <c r="G78" i="2"/>
  <c r="G77" i="2"/>
  <c r="F79" i="2"/>
  <c r="F78" i="2"/>
  <c r="F77" i="2"/>
  <c r="G75" i="2"/>
  <c r="F75" i="2"/>
  <c r="G70" i="2"/>
  <c r="F70" i="2"/>
  <c r="G67" i="2"/>
  <c r="F67" i="2"/>
  <c r="G64" i="2"/>
  <c r="F64" i="2"/>
  <c r="G61" i="2"/>
  <c r="F61" i="2"/>
  <c r="F85" i="2"/>
  <c r="G93" i="2"/>
  <c r="G92" i="2"/>
  <c r="G91" i="2"/>
  <c r="G156" i="2"/>
  <c r="G155" i="2"/>
  <c r="G154" i="2"/>
  <c r="G153" i="2"/>
  <c r="G152" i="2"/>
  <c r="F156" i="2"/>
  <c r="F155" i="2"/>
  <c r="F154" i="2"/>
  <c r="F153" i="2"/>
  <c r="F152" i="2"/>
  <c r="G106" i="2"/>
  <c r="G105" i="2"/>
  <c r="G104" i="2"/>
  <c r="G103" i="2"/>
  <c r="F106" i="2"/>
  <c r="F105" i="2"/>
  <c r="F104" i="2"/>
  <c r="F103" i="2"/>
  <c r="G96" i="2"/>
  <c r="G99" i="2"/>
  <c r="G98" i="2"/>
  <c r="F98" i="2"/>
  <c r="F96" i="2"/>
  <c r="F99" i="2"/>
  <c r="F100" i="2"/>
  <c r="G128" i="2"/>
  <c r="G127" i="2"/>
  <c r="G126" i="2"/>
  <c r="G125" i="2"/>
  <c r="G124" i="2"/>
  <c r="F128" i="2"/>
  <c r="F127" i="2"/>
  <c r="F126" i="2"/>
  <c r="F125" i="2"/>
  <c r="F124" i="2"/>
  <c r="G149" i="2"/>
  <c r="G148" i="2"/>
  <c r="G147" i="2"/>
  <c r="G146" i="2"/>
  <c r="G145" i="2"/>
  <c r="F149" i="2"/>
  <c r="F148" i="2"/>
  <c r="F147" i="2"/>
  <c r="F146" i="2"/>
  <c r="F145" i="2"/>
  <c r="G142" i="2"/>
  <c r="G141" i="2"/>
  <c r="G140" i="2"/>
  <c r="G139" i="2"/>
  <c r="G138" i="2"/>
  <c r="F142" i="2"/>
  <c r="F141" i="2"/>
  <c r="F140" i="2"/>
  <c r="F139" i="2"/>
  <c r="F138" i="2"/>
  <c r="G48" i="2"/>
  <c r="G49" i="2"/>
  <c r="G47" i="2"/>
  <c r="F49" i="2"/>
  <c r="F48" i="2"/>
  <c r="F47" i="2"/>
  <c r="G121" i="2"/>
  <c r="G120" i="2"/>
  <c r="F120" i="2"/>
  <c r="G119" i="2"/>
  <c r="G118" i="2"/>
  <c r="G117" i="2"/>
  <c r="F121" i="2"/>
  <c r="F119" i="2"/>
  <c r="F118" i="2"/>
  <c r="F117" i="2"/>
  <c r="G113" i="2"/>
  <c r="G114" i="2"/>
  <c r="F114" i="2"/>
  <c r="F113" i="2"/>
  <c r="F112" i="2"/>
  <c r="F111" i="2"/>
  <c r="G112" i="2"/>
  <c r="G111" i="2"/>
  <c r="G110" i="2"/>
  <c r="F110" i="2"/>
  <c r="F37" i="2"/>
  <c r="G37" i="2"/>
  <c r="G36" i="2"/>
  <c r="G35" i="2"/>
  <c r="F36" i="2"/>
  <c r="F34" i="2"/>
  <c r="F35" i="2"/>
  <c r="G34" i="2"/>
  <c r="G33" i="2"/>
  <c r="F33" i="2"/>
  <c r="G44" i="2"/>
  <c r="G43" i="2"/>
  <c r="G42" i="2"/>
  <c r="F44" i="2"/>
  <c r="F43" i="2"/>
  <c r="F42" i="2"/>
  <c r="G41" i="2"/>
  <c r="F41" i="2"/>
  <c r="G40" i="2"/>
  <c r="F40" i="2"/>
  <c r="F57" i="2"/>
  <c r="G57" i="2"/>
  <c r="G54" i="2"/>
  <c r="F54" i="2"/>
  <c r="G194" i="2"/>
  <c r="G30" i="2"/>
  <c r="F30" i="2"/>
  <c r="G29" i="2"/>
  <c r="F29" i="2"/>
  <c r="G28" i="2"/>
  <c r="F28" i="2"/>
  <c r="G27" i="2"/>
  <c r="F27" i="2"/>
  <c r="G26" i="2"/>
  <c r="F26" i="2"/>
  <c r="F187" i="2"/>
  <c r="G212" i="2"/>
  <c r="F212" i="2"/>
  <c r="G211" i="2"/>
  <c r="F211" i="2"/>
  <c r="G210" i="2"/>
  <c r="F210" i="2"/>
  <c r="G209" i="2"/>
  <c r="F209" i="2"/>
  <c r="G208" i="2"/>
  <c r="F208" i="2"/>
  <c r="F195" i="2"/>
  <c r="F194" i="2"/>
  <c r="G205" i="2"/>
  <c r="F205" i="2"/>
  <c r="G204" i="2"/>
  <c r="F204" i="2"/>
  <c r="G203" i="2"/>
  <c r="F203" i="2"/>
  <c r="G202" i="2"/>
  <c r="F202" i="2"/>
  <c r="G201" i="2"/>
  <c r="F201" i="2"/>
  <c r="G184" i="2"/>
  <c r="F184" i="2"/>
  <c r="G183" i="2"/>
  <c r="F183" i="2"/>
  <c r="G182" i="2"/>
  <c r="F182" i="2"/>
  <c r="G181" i="2"/>
  <c r="F181" i="2"/>
  <c r="G180" i="2"/>
  <c r="F180" i="2"/>
  <c r="G177" i="2"/>
  <c r="F177" i="2"/>
  <c r="G176" i="2"/>
  <c r="F176" i="2"/>
  <c r="G175" i="2"/>
  <c r="F175" i="2"/>
  <c r="G174" i="2"/>
  <c r="F174" i="2"/>
  <c r="G173" i="2"/>
  <c r="F173" i="2"/>
  <c r="F23" i="2"/>
  <c r="F22" i="2"/>
  <c r="G23" i="2"/>
  <c r="G22" i="2"/>
  <c r="G21" i="2"/>
  <c r="G20" i="2"/>
  <c r="F21" i="2"/>
  <c r="F20" i="2"/>
  <c r="H149" i="1"/>
  <c r="I149" i="1"/>
  <c r="I132" i="1"/>
  <c r="J132" i="1"/>
  <c r="H125" i="1"/>
  <c r="I161" i="1"/>
  <c r="J161" i="1"/>
  <c r="J172" i="1"/>
  <c r="J171" i="1"/>
  <c r="J170" i="1"/>
  <c r="J169" i="1"/>
  <c r="J168" i="1"/>
  <c r="H171" i="1"/>
  <c r="H170" i="1"/>
  <c r="H169" i="1"/>
  <c r="H172" i="1"/>
  <c r="I172" i="1"/>
  <c r="I171" i="1"/>
  <c r="I170" i="1"/>
  <c r="I169" i="1"/>
  <c r="I168" i="1"/>
  <c r="H168" i="1"/>
  <c r="J157" i="1"/>
  <c r="J156" i="1"/>
  <c r="J155" i="1"/>
  <c r="J154" i="1"/>
  <c r="I157" i="1"/>
  <c r="I156" i="1"/>
  <c r="I155" i="1"/>
  <c r="I154" i="1"/>
  <c r="J158" i="1"/>
  <c r="I158" i="1"/>
  <c r="I165" i="1"/>
  <c r="I164" i="1"/>
  <c r="H165" i="1"/>
  <c r="H164" i="1"/>
  <c r="J165" i="1"/>
  <c r="J164" i="1"/>
  <c r="J162" i="1"/>
  <c r="I162" i="1"/>
  <c r="H162" i="1"/>
  <c r="H161" i="1"/>
  <c r="E160" i="1"/>
  <c r="H158" i="1"/>
  <c r="H157" i="1"/>
  <c r="H156" i="1"/>
  <c r="H155" i="1"/>
  <c r="H154" i="1"/>
  <c r="H140" i="1"/>
  <c r="I140" i="1"/>
  <c r="J140" i="1"/>
  <c r="J142" i="1"/>
  <c r="H143" i="1"/>
  <c r="I143" i="1"/>
  <c r="J143" i="1"/>
  <c r="H144" i="1"/>
  <c r="I144" i="1"/>
  <c r="J144" i="1"/>
  <c r="J151" i="1"/>
  <c r="I151" i="1"/>
  <c r="H151" i="1"/>
  <c r="J150" i="1"/>
  <c r="I150" i="1"/>
  <c r="H150" i="1"/>
  <c r="J149" i="1"/>
  <c r="J147" i="1"/>
  <c r="I147" i="1"/>
  <c r="H147" i="1"/>
  <c r="H132" i="1"/>
  <c r="J125" i="1"/>
  <c r="I125" i="1"/>
  <c r="J118" i="1"/>
  <c r="I118" i="1"/>
  <c r="H118" i="1"/>
  <c r="E111" i="1"/>
  <c r="H111" i="1"/>
  <c r="I111" i="1"/>
  <c r="J111" i="1"/>
  <c r="J104" i="1"/>
  <c r="I104" i="1"/>
  <c r="H104" i="1"/>
  <c r="H96" i="1"/>
  <c r="I96" i="1"/>
  <c r="J96" i="1"/>
  <c r="H89" i="1"/>
  <c r="I89" i="1"/>
  <c r="J89" i="1"/>
  <c r="H82" i="1"/>
  <c r="I82" i="1"/>
  <c r="J82" i="1"/>
  <c r="H74" i="1"/>
  <c r="I74" i="1"/>
  <c r="J74" i="1"/>
  <c r="J67" i="1"/>
  <c r="I67" i="1"/>
  <c r="H67" i="1"/>
  <c r="H60" i="1"/>
  <c r="I60" i="1"/>
  <c r="J60" i="1"/>
  <c r="H53" i="1"/>
  <c r="I53" i="1"/>
  <c r="J53" i="1"/>
  <c r="J46" i="1"/>
  <c r="I46" i="1"/>
  <c r="H46" i="1"/>
  <c r="J39" i="1"/>
  <c r="I39" i="1"/>
  <c r="H39" i="1"/>
  <c r="J25" i="1"/>
  <c r="I25" i="1"/>
  <c r="H25" i="1"/>
  <c r="J18" i="1"/>
  <c r="I18" i="1"/>
  <c r="H18" i="1"/>
  <c r="H11" i="1"/>
  <c r="I11" i="1"/>
  <c r="J11" i="1"/>
  <c r="H4" i="1"/>
  <c r="I4" i="1"/>
  <c r="J4" i="1"/>
  <c r="H3" i="1"/>
</calcChain>
</file>

<file path=xl/sharedStrings.xml><?xml version="1.0" encoding="utf-8"?>
<sst xmlns="http://schemas.openxmlformats.org/spreadsheetml/2006/main" count="490" uniqueCount="131">
  <si>
    <t xml:space="preserve">Model name </t>
  </si>
  <si>
    <t>Node Type</t>
  </si>
  <si>
    <t># of GPUs</t>
  </si>
  <si>
    <t>Comments</t>
  </si>
  <si>
    <t xml:space="preserve">Amount of Memory </t>
  </si>
  <si>
    <t>Job run time</t>
  </si>
  <si>
    <t>Model size</t>
  </si>
  <si>
    <t>8B</t>
  </si>
  <si>
    <t>7B</t>
  </si>
  <si>
    <t>codegemma:2b</t>
  </si>
  <si>
    <t>3B</t>
  </si>
  <si>
    <t>codegemma:7b</t>
  </si>
  <si>
    <t>codellama:13b</t>
  </si>
  <si>
    <t>13B</t>
  </si>
  <si>
    <t>codellama:34b</t>
  </si>
  <si>
    <t>codellama:70b</t>
  </si>
  <si>
    <t>69B</t>
  </si>
  <si>
    <t>34B</t>
  </si>
  <si>
    <t>9B</t>
  </si>
  <si>
    <t>codellama:7b</t>
  </si>
  <si>
    <t>deepseek-coder-v2:16b</t>
  </si>
  <si>
    <t>15.7B</t>
  </si>
  <si>
    <t>deepseek-coder:1.3b</t>
  </si>
  <si>
    <t>1B</t>
  </si>
  <si>
    <t>deepseek-coder:33b</t>
  </si>
  <si>
    <t>33B</t>
  </si>
  <si>
    <t>deepseek-coder:6.7b</t>
  </si>
  <si>
    <t>gemma:2b</t>
  </si>
  <si>
    <t>gemma:7b</t>
  </si>
  <si>
    <t>gemma2:27b</t>
  </si>
  <si>
    <t>27.2B</t>
  </si>
  <si>
    <t>gemma2:2b</t>
  </si>
  <si>
    <t>2.6B</t>
  </si>
  <si>
    <t>gemma2:9b</t>
  </si>
  <si>
    <t>9.2B</t>
  </si>
  <si>
    <t>70.6B</t>
  </si>
  <si>
    <t>hermes3:70b</t>
  </si>
  <si>
    <t>hermes3:8b</t>
  </si>
  <si>
    <t>8.0B</t>
  </si>
  <si>
    <t>llama2:13b</t>
  </si>
  <si>
    <t>llama2:70b</t>
  </si>
  <si>
    <t>llama2:7b</t>
  </si>
  <si>
    <t>llama3.1:70b</t>
  </si>
  <si>
    <t>llama3.1:8b</t>
  </si>
  <si>
    <t>llama3:70b</t>
  </si>
  <si>
    <t>llama3:8b</t>
  </si>
  <si>
    <t>mistral-nemo:12b</t>
  </si>
  <si>
    <t>12.2B</t>
  </si>
  <si>
    <t>mistral-small:22b</t>
  </si>
  <si>
    <t>22.2B</t>
  </si>
  <si>
    <t>phi3.5:3.8b</t>
  </si>
  <si>
    <t>3.8B</t>
  </si>
  <si>
    <t xml:space="preserve">phi3:14b </t>
  </si>
  <si>
    <t>14B</t>
  </si>
  <si>
    <t>phi:2.7b</t>
  </si>
  <si>
    <t>stable-code:3b</t>
  </si>
  <si>
    <t>Tokens per second</t>
  </si>
  <si>
    <t>Number of seconds to the first token</t>
  </si>
  <si>
    <t>Meta-Llama-3.1-70B</t>
  </si>
  <si>
    <t>70B</t>
  </si>
  <si>
    <t>stable-code</t>
  </si>
  <si>
    <t>Meta-Llama-3.1-405B</t>
  </si>
  <si>
    <t>405B</t>
  </si>
  <si>
    <t>Llama-3.2-1B</t>
  </si>
  <si>
    <t>Llama-3.2-3B</t>
  </si>
  <si>
    <t>Codestral-22B-v0.1</t>
  </si>
  <si>
    <t>22B</t>
  </si>
  <si>
    <t>DeepSeek-Coder-V2-Lite</t>
  </si>
  <si>
    <t>gemma-2-27B</t>
  </si>
  <si>
    <t>27B</t>
  </si>
  <si>
    <t>gemma-2-2B</t>
  </si>
  <si>
    <t>2B</t>
  </si>
  <si>
    <t>gemma-2-9B</t>
  </si>
  <si>
    <t>Llama-3.3-70B</t>
  </si>
  <si>
    <t>mathstral-7B-v0.1</t>
  </si>
  <si>
    <t>Meta-Llama-3.1-8B</t>
  </si>
  <si>
    <t>Mistral-7B</t>
  </si>
  <si>
    <t>Mistral-Nemo</t>
  </si>
  <si>
    <t>Phi-3.1-mini-128k</t>
  </si>
  <si>
    <t>128k</t>
  </si>
  <si>
    <t>Yi-Coder-9B-Chat</t>
  </si>
  <si>
    <t xml:space="preserve">9B </t>
  </si>
  <si>
    <t>Hermes-3-Llama-3.1-8B</t>
  </si>
  <si>
    <t>Hermes-3-Llama-3.2-3B</t>
  </si>
  <si>
    <t>deepseek-math-7B</t>
  </si>
  <si>
    <t>Qwen2.5-Coder-14B</t>
  </si>
  <si>
    <t>Qwen2.5-Coder-32B</t>
  </si>
  <si>
    <t>Qwen2.5-Coder-3B</t>
  </si>
  <si>
    <t>32B</t>
  </si>
  <si>
    <t>CodeLlama-13B</t>
  </si>
  <si>
    <t>CodeLlama-70B</t>
  </si>
  <si>
    <t xml:space="preserve">any </t>
  </si>
  <si>
    <t>Prompt token</t>
  </si>
  <si>
    <t>Response token</t>
  </si>
  <si>
    <t>amd20</t>
  </si>
  <si>
    <t>4GB</t>
  </si>
  <si>
    <t>Total tokens</t>
  </si>
  <si>
    <t>0.78s</t>
  </si>
  <si>
    <t>488.74MB</t>
  </si>
  <si>
    <t>468.70 MB</t>
  </si>
  <si>
    <t>525.04 MB</t>
  </si>
  <si>
    <t>996.71 MB</t>
  </si>
  <si>
    <t>1011.30 MB</t>
  </si>
  <si>
    <t>444.18 MB</t>
  </si>
  <si>
    <t>548.68 MB</t>
  </si>
  <si>
    <t>Deepseek-R1 -8B</t>
  </si>
  <si>
    <t>472.91 MB</t>
  </si>
  <si>
    <t>826.53 MB</t>
  </si>
  <si>
    <t>Prompt 3: Language</t>
  </si>
  <si>
    <t>Prompt 2: Reasoning</t>
  </si>
  <si>
    <t>Prompt 1: Coding</t>
  </si>
  <si>
    <t>Prompt 4: Math</t>
  </si>
  <si>
    <t>Prompt  2: Reasoning</t>
  </si>
  <si>
    <t>Prompt 4: Math Questions</t>
  </si>
  <si>
    <t xml:space="preserve">Prompt 5: Current Event / Historical </t>
  </si>
  <si>
    <t xml:space="preserve">Prompt  2: Reasoning </t>
  </si>
  <si>
    <t>Prompt  3: Language</t>
  </si>
  <si>
    <t>Prompt 5: Current/Historical Events</t>
  </si>
  <si>
    <t>Prompt  4: Math</t>
  </si>
  <si>
    <t xml:space="preserve">Prompt 5: Current/Historical </t>
  </si>
  <si>
    <t>Prompt 1:  Coding</t>
  </si>
  <si>
    <t>Prompt 5: Current/Historical</t>
  </si>
  <si>
    <t>Prompt 1: Codin g</t>
  </si>
  <si>
    <t>Prompt 3:Language</t>
  </si>
  <si>
    <t>Prompt 5: Current / Historical</t>
  </si>
  <si>
    <t>37+119</t>
  </si>
  <si>
    <t>104.87+103.44</t>
  </si>
  <si>
    <t>503.77MB</t>
  </si>
  <si>
    <t>?</t>
  </si>
  <si>
    <t>N/A</t>
  </si>
  <si>
    <t>did not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</si>
</sst>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3" fontId="0" fillId="0" borderId="0" xfId="0" applyNumberFormat="1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A24FD-105B-4685-B030-0C2CABACFF48}">
  <dimension ref="A1:J182"/>
  <sheetViews>
    <sheetView topLeftCell="A153" workbookViewId="0">
      <selection activeCell="B10" sqref="B10"/>
    </sheetView>
  </sheetViews>
  <sheetFormatPr defaultRowHeight="14.5" x14ac:dyDescent="0.35"/>
  <cols>
    <col min="1" max="1" width="31.7265625" customWidth="1"/>
    <col min="2" max="3" width="10.81640625" customWidth="1"/>
    <col min="5" max="5" width="25.1796875" customWidth="1"/>
    <col min="6" max="6" width="20.1796875" customWidth="1"/>
    <col min="7" max="8" width="18.81640625" customWidth="1"/>
    <col min="9" max="9" width="21.453125" customWidth="1"/>
    <col min="10" max="10" width="40.7265625" customWidth="1"/>
  </cols>
  <sheetData>
    <row r="1" spans="1:10" x14ac:dyDescent="0.35">
      <c r="A1" s="1" t="s">
        <v>0</v>
      </c>
      <c r="B1" s="1" t="s">
        <v>1</v>
      </c>
      <c r="C1" s="1" t="s">
        <v>6</v>
      </c>
      <c r="D1" s="1" t="s">
        <v>2</v>
      </c>
      <c r="E1" s="1" t="s">
        <v>4</v>
      </c>
      <c r="F1" s="1" t="s">
        <v>5</v>
      </c>
      <c r="G1" s="1" t="s">
        <v>3</v>
      </c>
      <c r="H1" s="1" t="s">
        <v>96</v>
      </c>
      <c r="I1" s="1" t="s">
        <v>56</v>
      </c>
      <c r="J1" s="1" t="s">
        <v>57</v>
      </c>
    </row>
    <row r="3" spans="1:10" s="2" customFormat="1" x14ac:dyDescent="0.35">
      <c r="A3" s="2" t="s">
        <v>61</v>
      </c>
      <c r="C3" s="2" t="s">
        <v>62</v>
      </c>
      <c r="H3" s="2">
        <f t="shared" ref="H3" si="0">AVERAGE(SUM(224,65,576)/3)</f>
        <v>288.33333333333331</v>
      </c>
    </row>
    <row r="4" spans="1:10" ht="16" customHeight="1" x14ac:dyDescent="0.35">
      <c r="A4" t="s">
        <v>58</v>
      </c>
      <c r="B4" t="s">
        <v>94</v>
      </c>
      <c r="C4" t="s">
        <v>59</v>
      </c>
      <c r="D4">
        <v>2</v>
      </c>
      <c r="E4" t="s">
        <v>95</v>
      </c>
      <c r="H4">
        <f>AVERAGE(SUM(350,429)/2)</f>
        <v>389.5</v>
      </c>
      <c r="I4">
        <f>AVERAGE(SUM(5.2,5.17)/2)</f>
        <v>5.1850000000000005</v>
      </c>
      <c r="J4">
        <f>AVERAGE(SUM(13.38,3.02)/2)</f>
        <v>8.2000000000000011</v>
      </c>
    </row>
    <row r="5" spans="1:10" ht="16" customHeight="1" x14ac:dyDescent="0.35">
      <c r="A5" t="s">
        <v>110</v>
      </c>
      <c r="H5">
        <v>350</v>
      </c>
      <c r="I5">
        <v>5.2</v>
      </c>
      <c r="J5">
        <v>13.38</v>
      </c>
    </row>
    <row r="6" spans="1:10" ht="16" customHeight="1" x14ac:dyDescent="0.35">
      <c r="A6" t="s">
        <v>112</v>
      </c>
      <c r="H6">
        <v>429</v>
      </c>
      <c r="I6">
        <v>5.17</v>
      </c>
      <c r="J6">
        <v>13.02</v>
      </c>
    </row>
    <row r="7" spans="1:10" ht="16" customHeight="1" x14ac:dyDescent="0.35">
      <c r="A7" t="s">
        <v>108</v>
      </c>
    </row>
    <row r="8" spans="1:10" ht="16" customHeight="1" x14ac:dyDescent="0.35">
      <c r="A8" t="s">
        <v>113</v>
      </c>
    </row>
    <row r="9" spans="1:10" ht="16" customHeight="1" x14ac:dyDescent="0.35">
      <c r="A9" t="s">
        <v>114</v>
      </c>
    </row>
    <row r="10" spans="1:10" ht="16" customHeight="1" x14ac:dyDescent="0.35"/>
    <row r="11" spans="1:10" ht="16" customHeight="1" x14ac:dyDescent="0.35">
      <c r="A11" t="s">
        <v>58</v>
      </c>
      <c r="B11" t="s">
        <v>94</v>
      </c>
      <c r="C11" t="s">
        <v>59</v>
      </c>
      <c r="D11">
        <v>2</v>
      </c>
      <c r="E11" t="s">
        <v>95</v>
      </c>
      <c r="H11">
        <f>AVERAGE(SUM(451,377,333,497)/4)</f>
        <v>414.5</v>
      </c>
      <c r="I11">
        <f>+AVERAGE(SUM(5.07,5.35,5.28,5.17)/4)</f>
        <v>5.2174999999999994</v>
      </c>
      <c r="J11">
        <f>AVERAGE(SUM(20.12,9.64,3.08,5.17)/4)</f>
        <v>9.5025000000000013</v>
      </c>
    </row>
    <row r="12" spans="1:10" ht="16" customHeight="1" x14ac:dyDescent="0.35">
      <c r="A12" t="s">
        <v>110</v>
      </c>
      <c r="H12">
        <v>451</v>
      </c>
      <c r="I12">
        <v>5.07</v>
      </c>
      <c r="J12">
        <v>20.12</v>
      </c>
    </row>
    <row r="13" spans="1:10" ht="16" customHeight="1" x14ac:dyDescent="0.35">
      <c r="A13" t="s">
        <v>115</v>
      </c>
      <c r="H13">
        <v>377</v>
      </c>
      <c r="I13">
        <v>5.35</v>
      </c>
      <c r="J13">
        <v>9.64</v>
      </c>
    </row>
    <row r="14" spans="1:10" ht="16" customHeight="1" x14ac:dyDescent="0.35">
      <c r="A14" t="s">
        <v>116</v>
      </c>
      <c r="H14">
        <v>333</v>
      </c>
      <c r="I14">
        <v>5.28</v>
      </c>
      <c r="J14">
        <v>3.08</v>
      </c>
    </row>
    <row r="15" spans="1:10" ht="16" customHeight="1" x14ac:dyDescent="0.35">
      <c r="A15" t="s">
        <v>113</v>
      </c>
      <c r="H15">
        <v>497</v>
      </c>
      <c r="I15">
        <v>5.17</v>
      </c>
      <c r="J15">
        <v>5.17</v>
      </c>
    </row>
    <row r="16" spans="1:10" ht="16" customHeight="1" x14ac:dyDescent="0.35">
      <c r="A16" t="s">
        <v>117</v>
      </c>
    </row>
    <row r="17" spans="1:10" ht="16" customHeight="1" x14ac:dyDescent="0.35"/>
    <row r="18" spans="1:10" ht="16" customHeight="1" x14ac:dyDescent="0.35">
      <c r="A18" t="s">
        <v>75</v>
      </c>
      <c r="B18" t="s">
        <v>94</v>
      </c>
      <c r="C18" t="s">
        <v>7</v>
      </c>
      <c r="D18">
        <v>2</v>
      </c>
      <c r="E18" t="s">
        <v>95</v>
      </c>
      <c r="H18">
        <f>AVERAGE(SUM(152,287,406,322)/4)</f>
        <v>291.75</v>
      </c>
      <c r="I18">
        <f>AVERAGE(SUM(81.82,77.1,90.86,83.6)/4)</f>
        <v>83.344999999999999</v>
      </c>
      <c r="J18">
        <f>AVERAGE(SUM(1.55,0.28,0.65,0.35)/4)</f>
        <v>0.70750000000000002</v>
      </c>
    </row>
    <row r="19" spans="1:10" ht="16" customHeight="1" x14ac:dyDescent="0.35">
      <c r="A19" t="s">
        <v>110</v>
      </c>
      <c r="H19">
        <v>152</v>
      </c>
      <c r="I19">
        <v>81.87</v>
      </c>
      <c r="J19">
        <v>1.55</v>
      </c>
    </row>
    <row r="20" spans="1:10" ht="16" customHeight="1" x14ac:dyDescent="0.35">
      <c r="A20" t="s">
        <v>112</v>
      </c>
      <c r="H20">
        <v>287</v>
      </c>
      <c r="I20">
        <v>77.099999999999994</v>
      </c>
      <c r="J20">
        <v>0.28000000000000003</v>
      </c>
    </row>
    <row r="21" spans="1:10" ht="16" customHeight="1" x14ac:dyDescent="0.35">
      <c r="A21" t="s">
        <v>108</v>
      </c>
      <c r="H21">
        <v>406</v>
      </c>
      <c r="I21">
        <v>90.86</v>
      </c>
      <c r="J21">
        <v>0.65</v>
      </c>
    </row>
    <row r="22" spans="1:10" ht="16" customHeight="1" x14ac:dyDescent="0.35">
      <c r="A22" t="s">
        <v>118</v>
      </c>
      <c r="H22">
        <v>322</v>
      </c>
      <c r="I22">
        <v>83.6</v>
      </c>
      <c r="J22">
        <v>0.35</v>
      </c>
    </row>
    <row r="23" spans="1:10" ht="16" customHeight="1" x14ac:dyDescent="0.35">
      <c r="A23" t="s">
        <v>119</v>
      </c>
    </row>
    <row r="24" spans="1:10" ht="16" customHeight="1" x14ac:dyDescent="0.35"/>
    <row r="25" spans="1:10" ht="16" customHeight="1" x14ac:dyDescent="0.35">
      <c r="A25" t="s">
        <v>63</v>
      </c>
      <c r="B25" t="s">
        <v>94</v>
      </c>
      <c r="C25" t="s">
        <v>23</v>
      </c>
      <c r="D25">
        <v>2</v>
      </c>
      <c r="E25" t="s">
        <v>95</v>
      </c>
      <c r="H25">
        <f>AVERAGE(SUM(75,415,369,142)/4)</f>
        <v>250.25</v>
      </c>
      <c r="I25">
        <f>AVERAGE(SUM(205.69,188.96,182.26,178.86)/4)</f>
        <v>188.9425</v>
      </c>
      <c r="J25">
        <f>AVERAGE(SUM(0.39,0.13,0.16,0.16)/4)</f>
        <v>0.21000000000000002</v>
      </c>
    </row>
    <row r="26" spans="1:10" ht="16" customHeight="1" x14ac:dyDescent="0.35">
      <c r="A26" t="s">
        <v>120</v>
      </c>
      <c r="H26">
        <v>75</v>
      </c>
      <c r="I26">
        <v>205.69</v>
      </c>
      <c r="J26">
        <v>0.39</v>
      </c>
    </row>
    <row r="27" spans="1:10" ht="16" customHeight="1" x14ac:dyDescent="0.35">
      <c r="A27" t="s">
        <v>109</v>
      </c>
      <c r="H27">
        <v>415</v>
      </c>
      <c r="I27">
        <v>188.96</v>
      </c>
      <c r="J27">
        <v>0.13</v>
      </c>
    </row>
    <row r="28" spans="1:10" ht="16" customHeight="1" x14ac:dyDescent="0.35">
      <c r="A28" t="s">
        <v>108</v>
      </c>
      <c r="H28">
        <v>364</v>
      </c>
      <c r="I28">
        <v>182.26</v>
      </c>
      <c r="J28">
        <v>0.16</v>
      </c>
    </row>
    <row r="29" spans="1:10" ht="16" customHeight="1" x14ac:dyDescent="0.35">
      <c r="A29" t="s">
        <v>111</v>
      </c>
      <c r="H29">
        <v>142</v>
      </c>
      <c r="I29">
        <v>178.86</v>
      </c>
      <c r="J29">
        <v>0.16</v>
      </c>
    </row>
    <row r="30" spans="1:10" ht="16" customHeight="1" x14ac:dyDescent="0.35">
      <c r="A30" t="s">
        <v>121</v>
      </c>
    </row>
    <row r="31" spans="1:10" ht="16" customHeight="1" x14ac:dyDescent="0.35"/>
    <row r="32" spans="1:10" ht="16" customHeight="1" x14ac:dyDescent="0.35">
      <c r="A32" t="s">
        <v>64</v>
      </c>
      <c r="B32" t="s">
        <v>94</v>
      </c>
      <c r="C32" t="s">
        <v>10</v>
      </c>
      <c r="D32">
        <v>2</v>
      </c>
      <c r="E32" t="s">
        <v>95</v>
      </c>
    </row>
    <row r="33" spans="1:10" ht="16" customHeight="1" x14ac:dyDescent="0.35">
      <c r="A33" t="s">
        <v>110</v>
      </c>
    </row>
    <row r="34" spans="1:10" ht="16" customHeight="1" x14ac:dyDescent="0.35">
      <c r="A34" t="s">
        <v>109</v>
      </c>
    </row>
    <row r="35" spans="1:10" ht="16" customHeight="1" x14ac:dyDescent="0.35">
      <c r="A35" t="s">
        <v>108</v>
      </c>
    </row>
    <row r="36" spans="1:10" ht="16" customHeight="1" x14ac:dyDescent="0.35">
      <c r="A36" t="s">
        <v>111</v>
      </c>
    </row>
    <row r="37" spans="1:10" ht="16" customHeight="1" x14ac:dyDescent="0.35">
      <c r="A37" t="s">
        <v>121</v>
      </c>
    </row>
    <row r="38" spans="1:10" ht="16" customHeight="1" x14ac:dyDescent="0.35"/>
    <row r="39" spans="1:10" ht="16" customHeight="1" x14ac:dyDescent="0.35">
      <c r="A39" t="s">
        <v>73</v>
      </c>
      <c r="B39" t="s">
        <v>94</v>
      </c>
      <c r="C39" t="s">
        <v>59</v>
      </c>
      <c r="D39">
        <v>2</v>
      </c>
      <c r="E39" t="s">
        <v>95</v>
      </c>
      <c r="H39">
        <f>AVERAGE(SUM(451,142,219)/3)</f>
        <v>270.66666666666669</v>
      </c>
      <c r="I39">
        <f>AVERAGE(SUM(99.53,178.86,5.07)/3)</f>
        <v>94.486666666666665</v>
      </c>
      <c r="J39">
        <f>AVERAGE(SUM(0.77,0.16,16.17)/3)</f>
        <v>5.7</v>
      </c>
    </row>
    <row r="40" spans="1:10" ht="16" customHeight="1" x14ac:dyDescent="0.35">
      <c r="A40" t="s">
        <v>110</v>
      </c>
      <c r="H40">
        <v>451</v>
      </c>
      <c r="I40">
        <v>99.53</v>
      </c>
      <c r="J40">
        <v>0.77</v>
      </c>
    </row>
    <row r="41" spans="1:10" ht="16" customHeight="1" x14ac:dyDescent="0.35">
      <c r="A41" t="s">
        <v>109</v>
      </c>
      <c r="H41">
        <v>142</v>
      </c>
      <c r="I41">
        <v>178.86</v>
      </c>
      <c r="J41">
        <v>0.16</v>
      </c>
    </row>
    <row r="42" spans="1:10" ht="16" customHeight="1" x14ac:dyDescent="0.35">
      <c r="A42" t="s">
        <v>108</v>
      </c>
      <c r="H42">
        <v>219</v>
      </c>
      <c r="I42">
        <v>5.07</v>
      </c>
      <c r="J42">
        <v>16.170000000000002</v>
      </c>
    </row>
    <row r="43" spans="1:10" ht="16" customHeight="1" x14ac:dyDescent="0.35">
      <c r="A43" t="s">
        <v>111</v>
      </c>
    </row>
    <row r="44" spans="1:10" ht="16" customHeight="1" x14ac:dyDescent="0.35">
      <c r="A44" t="s">
        <v>119</v>
      </c>
    </row>
    <row r="45" spans="1:10" ht="16" customHeight="1" x14ac:dyDescent="0.35"/>
    <row r="46" spans="1:10" ht="15.65" customHeight="1" x14ac:dyDescent="0.35">
      <c r="A46" t="s">
        <v>60</v>
      </c>
      <c r="B46" t="s">
        <v>94</v>
      </c>
      <c r="C46" t="s">
        <v>10</v>
      </c>
      <c r="D46">
        <v>2</v>
      </c>
      <c r="E46" t="s">
        <v>95</v>
      </c>
      <c r="H46" s="3">
        <f>AVERAGE(SUM(129,129,110.95,93,292)/5)</f>
        <v>150.79000000000002</v>
      </c>
      <c r="I46">
        <f>AVERAGE(SUM(112.55,94.88,110.95,118.93,112.1)/5)</f>
        <v>109.88199999999999</v>
      </c>
      <c r="J46">
        <f>AVERAGE(SUM(0.26,1.08,0.52,0.72,0.48)/5)</f>
        <v>0.61199999999999999</v>
      </c>
    </row>
    <row r="47" spans="1:10" ht="15.65" customHeight="1" x14ac:dyDescent="0.35">
      <c r="A47" t="s">
        <v>122</v>
      </c>
      <c r="H47" s="3">
        <v>129</v>
      </c>
      <c r="I47">
        <v>112.55</v>
      </c>
      <c r="J47">
        <v>0.26</v>
      </c>
    </row>
    <row r="48" spans="1:10" ht="15.65" customHeight="1" x14ac:dyDescent="0.35">
      <c r="A48" t="s">
        <v>109</v>
      </c>
      <c r="H48" s="3">
        <v>129</v>
      </c>
      <c r="I48">
        <v>94.88</v>
      </c>
      <c r="J48">
        <v>1.0880000000000001</v>
      </c>
    </row>
    <row r="49" spans="1:10" ht="15.65" customHeight="1" x14ac:dyDescent="0.35">
      <c r="A49" t="s">
        <v>123</v>
      </c>
      <c r="H49" s="3">
        <v>110.95</v>
      </c>
      <c r="I49">
        <v>110.95</v>
      </c>
      <c r="J49">
        <v>0.52</v>
      </c>
    </row>
    <row r="50" spans="1:10" ht="15.65" customHeight="1" x14ac:dyDescent="0.35">
      <c r="A50" t="s">
        <v>111</v>
      </c>
      <c r="H50" s="3">
        <v>93</v>
      </c>
      <c r="I50">
        <v>118.93</v>
      </c>
      <c r="J50">
        <v>0.72</v>
      </c>
    </row>
    <row r="51" spans="1:10" ht="15.65" customHeight="1" x14ac:dyDescent="0.35">
      <c r="A51" t="s">
        <v>124</v>
      </c>
      <c r="H51" s="3">
        <v>292</v>
      </c>
      <c r="I51">
        <v>112.1</v>
      </c>
      <c r="J51">
        <v>0.48</v>
      </c>
    </row>
    <row r="52" spans="1:10" ht="15.65" customHeight="1" x14ac:dyDescent="0.35"/>
    <row r="53" spans="1:10" x14ac:dyDescent="0.35">
      <c r="A53" t="s">
        <v>74</v>
      </c>
      <c r="B53" t="s">
        <v>94</v>
      </c>
      <c r="C53" t="s">
        <v>8</v>
      </c>
      <c r="D53">
        <v>2</v>
      </c>
      <c r="E53" t="s">
        <v>95</v>
      </c>
      <c r="H53">
        <f>AVERAGE(SUM(46,97,167,47,215)/5)</f>
        <v>114.4</v>
      </c>
      <c r="I53">
        <f>AVERAGE(SUM(83.05,79.52,81.44,95.61,93.15)/5)</f>
        <v>86.554000000000002</v>
      </c>
      <c r="J53">
        <f>AVERAGE(SUM(1.37,0.4,0.35,1.24,0.32)/5)</f>
        <v>0.73599999999999999</v>
      </c>
    </row>
    <row r="54" spans="1:10" x14ac:dyDescent="0.35">
      <c r="A54" t="s">
        <v>110</v>
      </c>
      <c r="H54" s="3">
        <v>46</v>
      </c>
      <c r="I54">
        <v>83.05</v>
      </c>
      <c r="J54">
        <v>1.37</v>
      </c>
    </row>
    <row r="55" spans="1:10" x14ac:dyDescent="0.35">
      <c r="A55" t="s">
        <v>109</v>
      </c>
      <c r="H55" s="3">
        <v>97</v>
      </c>
      <c r="I55">
        <v>79.52</v>
      </c>
      <c r="J55">
        <v>0.4</v>
      </c>
    </row>
    <row r="56" spans="1:10" x14ac:dyDescent="0.35">
      <c r="A56" t="s">
        <v>108</v>
      </c>
      <c r="H56" s="3">
        <v>167</v>
      </c>
      <c r="I56">
        <v>81.44</v>
      </c>
      <c r="J56">
        <v>0.35</v>
      </c>
    </row>
    <row r="57" spans="1:10" x14ac:dyDescent="0.35">
      <c r="A57" t="s">
        <v>111</v>
      </c>
      <c r="H57" s="3">
        <v>47</v>
      </c>
      <c r="I57">
        <v>95.61</v>
      </c>
      <c r="J57">
        <v>1.24</v>
      </c>
    </row>
    <row r="58" spans="1:10" x14ac:dyDescent="0.35">
      <c r="A58" t="s">
        <v>121</v>
      </c>
      <c r="H58" s="3">
        <v>215</v>
      </c>
      <c r="I58">
        <v>93.51</v>
      </c>
      <c r="J58">
        <v>0.32</v>
      </c>
    </row>
    <row r="60" spans="1:10" x14ac:dyDescent="0.35">
      <c r="A60" t="s">
        <v>65</v>
      </c>
      <c r="B60" t="s">
        <v>94</v>
      </c>
      <c r="C60" t="s">
        <v>66</v>
      </c>
      <c r="D60">
        <v>2</v>
      </c>
      <c r="E60" t="s">
        <v>95</v>
      </c>
      <c r="H60" s="3">
        <f>AVERAGE(SUM(181,154,193,444)/4)</f>
        <v>243</v>
      </c>
      <c r="I60">
        <f>AVERAGE(SUM(43.66,38.77,38.14,37.28)/4)</f>
        <v>39.462500000000006</v>
      </c>
      <c r="J60">
        <f>AVERAGE(SUM(0.15,2.53,0.83,0.73)/4)</f>
        <v>1.06</v>
      </c>
    </row>
    <row r="61" spans="1:10" x14ac:dyDescent="0.35">
      <c r="A61" t="s">
        <v>110</v>
      </c>
      <c r="H61" s="3">
        <v>181</v>
      </c>
      <c r="I61">
        <v>43.66</v>
      </c>
      <c r="J61">
        <v>0.15</v>
      </c>
    </row>
    <row r="62" spans="1:10" x14ac:dyDescent="0.35">
      <c r="A62" t="s">
        <v>109</v>
      </c>
      <c r="H62" s="3">
        <v>154</v>
      </c>
      <c r="I62">
        <v>38.770000000000003</v>
      </c>
      <c r="J62">
        <v>2.5299999999999998</v>
      </c>
    </row>
    <row r="63" spans="1:10" x14ac:dyDescent="0.35">
      <c r="A63" t="s">
        <v>108</v>
      </c>
      <c r="H63" s="3">
        <v>194</v>
      </c>
      <c r="I63">
        <v>38.14</v>
      </c>
      <c r="J63">
        <v>0.83</v>
      </c>
    </row>
    <row r="64" spans="1:10" x14ac:dyDescent="0.35">
      <c r="A64" t="s">
        <v>111</v>
      </c>
      <c r="H64" s="3">
        <v>444</v>
      </c>
      <c r="I64">
        <v>37.28</v>
      </c>
      <c r="J64">
        <v>0.73</v>
      </c>
    </row>
    <row r="65" spans="1:10" x14ac:dyDescent="0.35">
      <c r="A65" t="s">
        <v>121</v>
      </c>
      <c r="H65" s="3"/>
    </row>
    <row r="67" spans="1:10" ht="16" customHeight="1" x14ac:dyDescent="0.35">
      <c r="A67" t="s">
        <v>67</v>
      </c>
      <c r="B67" t="s">
        <v>94</v>
      </c>
      <c r="D67">
        <v>2</v>
      </c>
      <c r="E67" t="s">
        <v>98</v>
      </c>
      <c r="H67" s="3">
        <f>AVERAGE(SUM(532,409,134,257,201)/5)</f>
        <v>306.60000000000002</v>
      </c>
      <c r="I67">
        <f>AVERAGE(SUM(69.89,65.07,65.11,74,67.97)/5)</f>
        <v>68.407999999999987</v>
      </c>
      <c r="J67">
        <f>AVERAGE(SUM(3.08,1.28,3.88,2.67,0.99)/5)</f>
        <v>2.38</v>
      </c>
    </row>
    <row r="68" spans="1:10" ht="16" customHeight="1" x14ac:dyDescent="0.35">
      <c r="A68" t="s">
        <v>110</v>
      </c>
      <c r="H68" s="3">
        <v>532</v>
      </c>
      <c r="I68">
        <v>69.89</v>
      </c>
      <c r="J68">
        <v>3.08</v>
      </c>
    </row>
    <row r="69" spans="1:10" ht="16" customHeight="1" x14ac:dyDescent="0.35">
      <c r="A69" t="s">
        <v>109</v>
      </c>
      <c r="H69" s="3">
        <v>409</v>
      </c>
      <c r="I69">
        <v>65.069999999999993</v>
      </c>
      <c r="J69">
        <v>1.28</v>
      </c>
    </row>
    <row r="70" spans="1:10" ht="16" customHeight="1" x14ac:dyDescent="0.35">
      <c r="A70" t="s">
        <v>108</v>
      </c>
      <c r="H70" s="3">
        <v>134</v>
      </c>
      <c r="I70">
        <v>65.11</v>
      </c>
      <c r="J70">
        <v>3.88</v>
      </c>
    </row>
    <row r="71" spans="1:10" ht="16" customHeight="1" x14ac:dyDescent="0.35">
      <c r="A71" t="s">
        <v>111</v>
      </c>
      <c r="H71" s="3">
        <v>257</v>
      </c>
      <c r="I71">
        <v>74</v>
      </c>
      <c r="J71">
        <v>2.67</v>
      </c>
    </row>
    <row r="72" spans="1:10" ht="16" customHeight="1" x14ac:dyDescent="0.35">
      <c r="A72" t="s">
        <v>121</v>
      </c>
      <c r="H72" s="3">
        <v>201</v>
      </c>
      <c r="I72">
        <v>67.97</v>
      </c>
      <c r="J72">
        <v>0.99</v>
      </c>
    </row>
    <row r="73" spans="1:10" ht="16" customHeight="1" x14ac:dyDescent="0.35">
      <c r="H73" s="3"/>
    </row>
    <row r="74" spans="1:10" ht="16" customHeight="1" x14ac:dyDescent="0.35">
      <c r="A74" t="s">
        <v>84</v>
      </c>
      <c r="B74" t="s">
        <v>94</v>
      </c>
      <c r="C74" t="s">
        <v>8</v>
      </c>
      <c r="D74">
        <v>2</v>
      </c>
      <c r="E74" t="s">
        <v>99</v>
      </c>
      <c r="H74">
        <f>AVERAGE(SUM(624,94,5,64)/4)</f>
        <v>196.75</v>
      </c>
      <c r="I74">
        <f>AVERAGE(SUM(91.11,84.87,77.07,79.96)/4)</f>
        <v>83.252499999999998</v>
      </c>
      <c r="J74">
        <f>AVERAGE(SUM(1.49,1.03,0.8,2.21)/4)</f>
        <v>1.3825000000000001</v>
      </c>
    </row>
    <row r="75" spans="1:10" ht="16" customHeight="1" x14ac:dyDescent="0.35">
      <c r="A75" t="s">
        <v>110</v>
      </c>
      <c r="H75" s="3">
        <v>624</v>
      </c>
      <c r="I75">
        <v>91.11</v>
      </c>
      <c r="J75">
        <v>1.49</v>
      </c>
    </row>
    <row r="76" spans="1:10" ht="16" customHeight="1" x14ac:dyDescent="0.35">
      <c r="A76" t="s">
        <v>109</v>
      </c>
      <c r="H76" s="3">
        <v>94</v>
      </c>
      <c r="I76">
        <v>84.87</v>
      </c>
      <c r="J76">
        <v>1.03</v>
      </c>
    </row>
    <row r="77" spans="1:10" ht="16" customHeight="1" x14ac:dyDescent="0.35">
      <c r="A77" t="s">
        <v>108</v>
      </c>
      <c r="H77" s="3">
        <v>5</v>
      </c>
      <c r="I77">
        <v>77.069999999999993</v>
      </c>
      <c r="J77">
        <v>0.8</v>
      </c>
    </row>
    <row r="78" spans="1:10" ht="16" customHeight="1" x14ac:dyDescent="0.35">
      <c r="A78" t="s">
        <v>111</v>
      </c>
      <c r="H78" s="3">
        <v>64</v>
      </c>
      <c r="I78">
        <v>79.959999999999994</v>
      </c>
      <c r="J78">
        <v>2.21</v>
      </c>
    </row>
    <row r="79" spans="1:10" ht="16" customHeight="1" x14ac:dyDescent="0.35">
      <c r="A79" t="s">
        <v>121</v>
      </c>
    </row>
    <row r="80" spans="1:10" ht="16" customHeight="1" x14ac:dyDescent="0.35"/>
    <row r="82" spans="1:10" x14ac:dyDescent="0.35">
      <c r="A82" t="s">
        <v>68</v>
      </c>
      <c r="B82" t="s">
        <v>94</v>
      </c>
      <c r="C82" t="s">
        <v>69</v>
      </c>
      <c r="D82">
        <v>2</v>
      </c>
      <c r="E82" t="s">
        <v>100</v>
      </c>
      <c r="H82" s="3">
        <f>AVERAGE(SUM(127,205,149,361,51)/5)</f>
        <v>178.6</v>
      </c>
      <c r="I82">
        <f>AVERAGE(SUM(32.82,32.42,33.09,31.79,32.82)/5)</f>
        <v>32.588000000000001</v>
      </c>
      <c r="J82">
        <f>AVERAGE(SUM(3.23,0.89,0.96,0.91,1.11)/5)</f>
        <v>1.4200000000000002</v>
      </c>
    </row>
    <row r="83" spans="1:10" x14ac:dyDescent="0.35">
      <c r="A83" t="s">
        <v>110</v>
      </c>
      <c r="H83" s="3">
        <v>127</v>
      </c>
      <c r="I83">
        <v>32.82</v>
      </c>
      <c r="J83">
        <v>3.23</v>
      </c>
    </row>
    <row r="84" spans="1:10" x14ac:dyDescent="0.35">
      <c r="A84" t="s">
        <v>109</v>
      </c>
      <c r="H84" s="3">
        <v>205</v>
      </c>
      <c r="I84">
        <v>32.42</v>
      </c>
      <c r="J84">
        <v>0.89</v>
      </c>
    </row>
    <row r="85" spans="1:10" x14ac:dyDescent="0.35">
      <c r="A85" t="s">
        <v>108</v>
      </c>
      <c r="H85" s="3">
        <v>149</v>
      </c>
      <c r="I85">
        <v>33.090000000000003</v>
      </c>
      <c r="J85">
        <v>0.96</v>
      </c>
    </row>
    <row r="86" spans="1:10" x14ac:dyDescent="0.35">
      <c r="A86" t="s">
        <v>111</v>
      </c>
      <c r="H86" s="3">
        <v>361</v>
      </c>
      <c r="I86">
        <v>31.79</v>
      </c>
      <c r="J86">
        <v>0.91</v>
      </c>
    </row>
    <row r="87" spans="1:10" x14ac:dyDescent="0.35">
      <c r="A87" t="s">
        <v>121</v>
      </c>
      <c r="H87" s="3">
        <v>51</v>
      </c>
      <c r="I87">
        <v>32.82</v>
      </c>
      <c r="J87">
        <v>1.1100000000000001</v>
      </c>
    </row>
    <row r="88" spans="1:10" x14ac:dyDescent="0.35">
      <c r="H88" s="3"/>
    </row>
    <row r="89" spans="1:10" x14ac:dyDescent="0.35">
      <c r="A89" t="s">
        <v>70</v>
      </c>
      <c r="B89" t="s">
        <v>94</v>
      </c>
      <c r="C89" t="s">
        <v>71</v>
      </c>
      <c r="D89">
        <v>2</v>
      </c>
      <c r="E89" t="s">
        <v>101</v>
      </c>
      <c r="H89" s="3">
        <f>AVERAGE(SUM(695,110,504)/3)</f>
        <v>436.33333333333331</v>
      </c>
      <c r="I89">
        <f>AVERAGE(SUM(112.2,124.91,106.1)/3)</f>
        <v>114.40333333333335</v>
      </c>
      <c r="J89">
        <f>AVERAGE(SUM(1.15,1.11,0.87)/3)</f>
        <v>1.0433333333333332</v>
      </c>
    </row>
    <row r="90" spans="1:10" x14ac:dyDescent="0.35">
      <c r="A90" t="s">
        <v>110</v>
      </c>
      <c r="H90" s="3">
        <v>695</v>
      </c>
      <c r="I90">
        <v>112.2</v>
      </c>
      <c r="J90">
        <v>1.1499999999999999</v>
      </c>
    </row>
    <row r="91" spans="1:10" x14ac:dyDescent="0.35">
      <c r="A91" t="s">
        <v>109</v>
      </c>
      <c r="H91" s="3">
        <v>110</v>
      </c>
      <c r="I91">
        <v>124.91</v>
      </c>
      <c r="J91">
        <v>1.1100000000000001</v>
      </c>
    </row>
    <row r="92" spans="1:10" x14ac:dyDescent="0.35">
      <c r="A92" t="s">
        <v>108</v>
      </c>
      <c r="H92" s="3">
        <v>504</v>
      </c>
      <c r="I92">
        <v>106.1</v>
      </c>
      <c r="J92">
        <v>0.87</v>
      </c>
    </row>
    <row r="93" spans="1:10" x14ac:dyDescent="0.35">
      <c r="A93" t="s">
        <v>111</v>
      </c>
      <c r="H93" s="3"/>
    </row>
    <row r="94" spans="1:10" x14ac:dyDescent="0.35">
      <c r="A94" t="s">
        <v>121</v>
      </c>
      <c r="H94" s="3"/>
    </row>
    <row r="95" spans="1:10" x14ac:dyDescent="0.35">
      <c r="H95" s="3"/>
    </row>
    <row r="96" spans="1:10" x14ac:dyDescent="0.35">
      <c r="A96" t="s">
        <v>72</v>
      </c>
      <c r="B96" t="s">
        <v>94</v>
      </c>
      <c r="C96" t="s">
        <v>18</v>
      </c>
      <c r="D96">
        <v>2</v>
      </c>
      <c r="E96" t="s">
        <v>102</v>
      </c>
      <c r="H96" s="3">
        <f>AVERAGE(SUM(447,490,610,405,530)/5)</f>
        <v>496.4</v>
      </c>
      <c r="I96">
        <f>AVERAGE(SUM(103.97,100.85,112.66,104.03,97.96)/5)</f>
        <v>103.89400000000001</v>
      </c>
      <c r="J96">
        <f>AVERAGE(SUM(0.99,9,1.22,0.97,0.94)/5)</f>
        <v>2.6240000000000001</v>
      </c>
    </row>
    <row r="97" spans="1:10" x14ac:dyDescent="0.35">
      <c r="A97" t="s">
        <v>110</v>
      </c>
      <c r="H97" s="3">
        <v>447</v>
      </c>
      <c r="I97">
        <v>103.97</v>
      </c>
      <c r="J97">
        <v>0.99</v>
      </c>
    </row>
    <row r="98" spans="1:10" x14ac:dyDescent="0.35">
      <c r="A98" t="s">
        <v>109</v>
      </c>
      <c r="H98" s="3">
        <v>490</v>
      </c>
      <c r="I98">
        <v>100.85</v>
      </c>
      <c r="J98">
        <v>9</v>
      </c>
    </row>
    <row r="99" spans="1:10" x14ac:dyDescent="0.35">
      <c r="A99" t="s">
        <v>108</v>
      </c>
      <c r="H99" s="3">
        <v>610</v>
      </c>
      <c r="I99">
        <v>112.66</v>
      </c>
      <c r="J99">
        <v>1.22</v>
      </c>
    </row>
    <row r="100" spans="1:10" x14ac:dyDescent="0.35">
      <c r="A100" t="s">
        <v>111</v>
      </c>
      <c r="H100" s="3">
        <v>405</v>
      </c>
      <c r="I100">
        <v>104.03</v>
      </c>
      <c r="J100">
        <v>0.97</v>
      </c>
    </row>
    <row r="101" spans="1:10" x14ac:dyDescent="0.35">
      <c r="A101" t="s">
        <v>121</v>
      </c>
      <c r="H101" s="3">
        <v>530</v>
      </c>
      <c r="I101">
        <v>97.96</v>
      </c>
      <c r="J101">
        <v>0.94</v>
      </c>
    </row>
    <row r="102" spans="1:10" x14ac:dyDescent="0.35">
      <c r="H102" s="3"/>
    </row>
    <row r="104" spans="1:10" x14ac:dyDescent="0.35">
      <c r="A104" t="s">
        <v>76</v>
      </c>
      <c r="B104" t="s">
        <v>94</v>
      </c>
      <c r="C104" t="s">
        <v>8</v>
      </c>
      <c r="D104">
        <v>2</v>
      </c>
      <c r="E104" t="s">
        <v>103</v>
      </c>
      <c r="H104" s="3">
        <f>AVERAGE(SUM(279,320,161,189)/4)</f>
        <v>237.25</v>
      </c>
      <c r="I104">
        <f>AVERAGE(SUM(93.82,90.94,87.46,87)/4)</f>
        <v>89.804999999999993</v>
      </c>
      <c r="J104">
        <f>AVERAGE(SUM(0.99,0.5,0.54,0.42)/4)</f>
        <v>0.61250000000000004</v>
      </c>
    </row>
    <row r="105" spans="1:10" x14ac:dyDescent="0.35">
      <c r="A105" t="s">
        <v>110</v>
      </c>
      <c r="H105" s="3">
        <v>279</v>
      </c>
      <c r="I105">
        <v>93.82</v>
      </c>
      <c r="J105">
        <v>0.99</v>
      </c>
    </row>
    <row r="106" spans="1:10" x14ac:dyDescent="0.35">
      <c r="A106" t="s">
        <v>109</v>
      </c>
      <c r="H106" s="3">
        <v>320</v>
      </c>
      <c r="I106">
        <v>90.94</v>
      </c>
      <c r="J106">
        <v>0.5</v>
      </c>
    </row>
    <row r="107" spans="1:10" x14ac:dyDescent="0.35">
      <c r="A107" t="s">
        <v>108</v>
      </c>
      <c r="H107" s="3">
        <v>161</v>
      </c>
      <c r="I107">
        <v>87.46</v>
      </c>
      <c r="J107">
        <v>0.54</v>
      </c>
    </row>
    <row r="108" spans="1:10" x14ac:dyDescent="0.35">
      <c r="A108" t="s">
        <v>111</v>
      </c>
      <c r="H108" s="3">
        <v>189</v>
      </c>
      <c r="I108">
        <v>87</v>
      </c>
      <c r="J108">
        <v>0.42</v>
      </c>
    </row>
    <row r="109" spans="1:10" x14ac:dyDescent="0.35">
      <c r="A109" t="s">
        <v>121</v>
      </c>
      <c r="H109" s="3"/>
    </row>
    <row r="110" spans="1:10" x14ac:dyDescent="0.35">
      <c r="H110" s="3"/>
    </row>
    <row r="111" spans="1:10" x14ac:dyDescent="0.35">
      <c r="A111" t="s">
        <v>77</v>
      </c>
      <c r="B111" t="s">
        <v>94</v>
      </c>
      <c r="D111">
        <v>2</v>
      </c>
      <c r="E111">
        <f>AVERAGE(491.55 + 518.52)/2</f>
        <v>505.03499999999997</v>
      </c>
      <c r="H111" s="3">
        <f>AVERAGE(SUM(390,597,445,310)/4)</f>
        <v>435.5</v>
      </c>
      <c r="I111">
        <f>AVERAGE(SUM(58.48,65.4,62.57,61.16)/4)</f>
        <v>61.902499999999996</v>
      </c>
      <c r="J111">
        <f>AVERAGE(SUM(1.85,1.62,0.86,0.82)/4)</f>
        <v>1.2875000000000001</v>
      </c>
    </row>
    <row r="112" spans="1:10" x14ac:dyDescent="0.35">
      <c r="A112" t="s">
        <v>110</v>
      </c>
      <c r="H112">
        <v>390</v>
      </c>
      <c r="I112">
        <v>58.48</v>
      </c>
      <c r="J112">
        <v>1.85</v>
      </c>
    </row>
    <row r="113" spans="1:10" x14ac:dyDescent="0.35">
      <c r="A113" t="s">
        <v>109</v>
      </c>
      <c r="H113">
        <v>597</v>
      </c>
      <c r="I113">
        <v>65.400000000000006</v>
      </c>
      <c r="J113">
        <v>1.62</v>
      </c>
    </row>
    <row r="114" spans="1:10" x14ac:dyDescent="0.35">
      <c r="A114" t="s">
        <v>108</v>
      </c>
      <c r="H114">
        <v>445</v>
      </c>
      <c r="I114">
        <v>62.57</v>
      </c>
      <c r="J114">
        <v>0.86</v>
      </c>
    </row>
    <row r="115" spans="1:10" x14ac:dyDescent="0.35">
      <c r="A115" t="s">
        <v>111</v>
      </c>
      <c r="H115">
        <v>310</v>
      </c>
      <c r="I115">
        <v>61.16</v>
      </c>
      <c r="J115">
        <v>0.82</v>
      </c>
    </row>
    <row r="116" spans="1:10" x14ac:dyDescent="0.35">
      <c r="A116" t="s">
        <v>121</v>
      </c>
    </row>
    <row r="118" spans="1:10" x14ac:dyDescent="0.35">
      <c r="A118" t="s">
        <v>78</v>
      </c>
      <c r="B118" t="s">
        <v>94</v>
      </c>
      <c r="C118" t="s">
        <v>79</v>
      </c>
      <c r="D118">
        <v>2</v>
      </c>
      <c r="E118" t="s">
        <v>104</v>
      </c>
      <c r="H118">
        <f>AVERAGE(SUM(68,300,223,280)/4)</f>
        <v>217.75</v>
      </c>
      <c r="I118">
        <f>AVERAGE(SUM(71.99,93.21,114.31,108.42)/4)</f>
        <v>96.982500000000002</v>
      </c>
      <c r="J118">
        <f>AVERAGE(SUM(1.04,0.38,0.95,0.43)/4)</f>
        <v>0.70000000000000007</v>
      </c>
    </row>
    <row r="119" spans="1:10" x14ac:dyDescent="0.35">
      <c r="A119" t="s">
        <v>110</v>
      </c>
      <c r="H119">
        <v>68</v>
      </c>
      <c r="I119">
        <v>71.989999999999995</v>
      </c>
      <c r="J119">
        <v>1.04</v>
      </c>
    </row>
    <row r="120" spans="1:10" x14ac:dyDescent="0.35">
      <c r="A120" t="s">
        <v>109</v>
      </c>
      <c r="H120">
        <v>300</v>
      </c>
      <c r="I120">
        <v>93.21</v>
      </c>
      <c r="J120">
        <v>0.38</v>
      </c>
    </row>
    <row r="121" spans="1:10" x14ac:dyDescent="0.35">
      <c r="A121" t="s">
        <v>108</v>
      </c>
      <c r="H121">
        <v>223</v>
      </c>
      <c r="I121">
        <v>114.31</v>
      </c>
      <c r="J121">
        <v>0.95</v>
      </c>
    </row>
    <row r="122" spans="1:10" x14ac:dyDescent="0.35">
      <c r="A122" t="s">
        <v>111</v>
      </c>
      <c r="H122">
        <v>280</v>
      </c>
      <c r="I122">
        <v>108.42</v>
      </c>
      <c r="J122">
        <v>0.43</v>
      </c>
    </row>
    <row r="123" spans="1:10" x14ac:dyDescent="0.35">
      <c r="A123" t="s">
        <v>121</v>
      </c>
    </row>
    <row r="125" spans="1:10" x14ac:dyDescent="0.35">
      <c r="A125" t="s">
        <v>80</v>
      </c>
      <c r="B125" t="s">
        <v>94</v>
      </c>
      <c r="C125" t="s">
        <v>81</v>
      </c>
      <c r="D125">
        <v>2</v>
      </c>
      <c r="E125" t="s">
        <v>106</v>
      </c>
      <c r="H125">
        <f>AVERAGE(SUM(368+220+307+339)/4)</f>
        <v>308.5</v>
      </c>
      <c r="I125">
        <f>AVERAGE(SUM(68.74+65.95+64.3+63.22)/4)</f>
        <v>65.552500000000009</v>
      </c>
      <c r="J125">
        <f>AVERAGE(SUM(1.49+0.66+0.56+0.64)/4)</f>
        <v>0.83750000000000002</v>
      </c>
    </row>
    <row r="126" spans="1:10" x14ac:dyDescent="0.35">
      <c r="A126" t="s">
        <v>110</v>
      </c>
      <c r="H126">
        <v>368</v>
      </c>
      <c r="I126">
        <v>68.739999999999995</v>
      </c>
      <c r="J126">
        <v>1.49</v>
      </c>
    </row>
    <row r="127" spans="1:10" x14ac:dyDescent="0.35">
      <c r="A127" t="s">
        <v>109</v>
      </c>
      <c r="H127">
        <v>220</v>
      </c>
      <c r="I127">
        <v>65.95</v>
      </c>
      <c r="J127">
        <v>0.66</v>
      </c>
    </row>
    <row r="128" spans="1:10" x14ac:dyDescent="0.35">
      <c r="A128" t="s">
        <v>108</v>
      </c>
      <c r="H128">
        <v>307</v>
      </c>
      <c r="I128">
        <v>64.3</v>
      </c>
      <c r="J128">
        <v>0.56000000000000005</v>
      </c>
    </row>
    <row r="129" spans="1:10" x14ac:dyDescent="0.35">
      <c r="A129" t="s">
        <v>111</v>
      </c>
      <c r="H129">
        <v>339</v>
      </c>
      <c r="I129">
        <v>63.22</v>
      </c>
      <c r="J129">
        <v>0.64</v>
      </c>
    </row>
    <row r="130" spans="1:10" x14ac:dyDescent="0.35">
      <c r="A130" t="s">
        <v>121</v>
      </c>
    </row>
    <row r="132" spans="1:10" x14ac:dyDescent="0.35">
      <c r="A132" t="s">
        <v>82</v>
      </c>
      <c r="B132" t="s">
        <v>94</v>
      </c>
      <c r="C132" t="s">
        <v>7</v>
      </c>
      <c r="D132">
        <v>2</v>
      </c>
      <c r="E132">
        <v>485.51</v>
      </c>
      <c r="H132">
        <f>AVERAGE(SUM(278+406+185+146+132)/5)</f>
        <v>229.4</v>
      </c>
      <c r="I132">
        <f>AVERAGE(SUM(82.07+77.16+75.35+74.89)/4)</f>
        <v>77.367499999999993</v>
      </c>
      <c r="J132">
        <f>AVERAGE(SUM(0.34 + 2.69 +0.55+0.38+0.3)/4)</f>
        <v>1.0649999999999999</v>
      </c>
    </row>
    <row r="133" spans="1:10" x14ac:dyDescent="0.35">
      <c r="A133" t="s">
        <v>110</v>
      </c>
      <c r="H133">
        <v>278</v>
      </c>
      <c r="I133">
        <v>82.07</v>
      </c>
      <c r="J133">
        <v>0.34</v>
      </c>
    </row>
    <row r="134" spans="1:10" x14ac:dyDescent="0.35">
      <c r="A134" t="s">
        <v>109</v>
      </c>
      <c r="H134">
        <v>406</v>
      </c>
      <c r="I134">
        <v>77.16</v>
      </c>
      <c r="J134">
        <v>2.69</v>
      </c>
    </row>
    <row r="135" spans="1:10" x14ac:dyDescent="0.35">
      <c r="A135" t="s">
        <v>108</v>
      </c>
      <c r="H135">
        <v>185</v>
      </c>
      <c r="I135">
        <v>75.349999999999994</v>
      </c>
      <c r="J135">
        <v>0.55000000000000004</v>
      </c>
    </row>
    <row r="136" spans="1:10" x14ac:dyDescent="0.35">
      <c r="A136" t="s">
        <v>111</v>
      </c>
      <c r="H136">
        <v>146</v>
      </c>
      <c r="I136">
        <v>74.89</v>
      </c>
      <c r="J136">
        <v>0.38</v>
      </c>
    </row>
    <row r="137" spans="1:10" x14ac:dyDescent="0.35">
      <c r="A137" t="s">
        <v>121</v>
      </c>
      <c r="H137">
        <v>132</v>
      </c>
      <c r="I137" t="s">
        <v>128</v>
      </c>
      <c r="J137">
        <v>0.3</v>
      </c>
    </row>
    <row r="139" spans="1:10" x14ac:dyDescent="0.35">
      <c r="A139" t="s">
        <v>83</v>
      </c>
      <c r="B139" t="s">
        <v>94</v>
      </c>
      <c r="C139" t="s">
        <v>10</v>
      </c>
      <c r="D139">
        <v>2</v>
      </c>
      <c r="E139" t="s">
        <v>107</v>
      </c>
      <c r="H139" s="4"/>
      <c r="I139" s="4">
        <v>126.33</v>
      </c>
      <c r="J139" s="4" t="s">
        <v>97</v>
      </c>
    </row>
    <row r="140" spans="1:10" ht="16.5" customHeight="1" x14ac:dyDescent="0.35">
      <c r="A140" t="s">
        <v>110</v>
      </c>
      <c r="H140" s="4">
        <f>AVERAGE(SUM(401+470+405)/3)</f>
        <v>425.33333333333331</v>
      </c>
      <c r="I140" s="4">
        <f>AVERAGE(SUM(123.33+127.41+113.51)/3)</f>
        <v>121.41666666666667</v>
      </c>
      <c r="J140" s="4">
        <f>AVERAGE(SUM(0.33+0.62+0.75)/3)</f>
        <v>0.56666666666666665</v>
      </c>
    </row>
    <row r="141" spans="1:10" ht="16.5" customHeight="1" x14ac:dyDescent="0.35">
      <c r="A141" t="s">
        <v>109</v>
      </c>
      <c r="H141" s="4">
        <v>387</v>
      </c>
      <c r="I141" s="4">
        <v>110.25</v>
      </c>
      <c r="J141" s="4">
        <v>0.3</v>
      </c>
    </row>
    <row r="142" spans="1:10" ht="16.5" customHeight="1" x14ac:dyDescent="0.35">
      <c r="A142" t="s">
        <v>108</v>
      </c>
      <c r="H142" s="4" t="s">
        <v>125</v>
      </c>
      <c r="I142" s="4" t="s">
        <v>126</v>
      </c>
      <c r="J142" s="4">
        <f>AVERAGE(SUM(0.33+0.25)/2)</f>
        <v>0.29000000000000004</v>
      </c>
    </row>
    <row r="143" spans="1:10" ht="16.5" customHeight="1" x14ac:dyDescent="0.35">
      <c r="A143" t="s">
        <v>111</v>
      </c>
      <c r="H143" s="4">
        <f>AVERAGE(SUM(131+601+231)/3)</f>
        <v>321</v>
      </c>
      <c r="I143" s="4">
        <f>AVERAGE(SUM(97.51+99.83+127.59)/3)</f>
        <v>108.31</v>
      </c>
      <c r="J143" s="4">
        <f>AVERAGE(SUM(0.24+0.25+0.73)/3)</f>
        <v>0.40666666666666668</v>
      </c>
    </row>
    <row r="144" spans="1:10" ht="16.5" customHeight="1" x14ac:dyDescent="0.35">
      <c r="A144" t="s">
        <v>121</v>
      </c>
      <c r="H144" s="4">
        <f>AVERAGE(SUM(252+81+367)/3)</f>
        <v>233.33333333333334</v>
      </c>
      <c r="I144" s="4">
        <f>AVERAGE(SUM(55.5+54.5+54.14)/3)</f>
        <v>54.713333333333331</v>
      </c>
      <c r="J144" s="4">
        <f>AVERAGE(SUM(3.64+1.64+1.07)/3)</f>
        <v>2.1166666666666667</v>
      </c>
    </row>
    <row r="145" spans="1:10" ht="16.5" customHeight="1" x14ac:dyDescent="0.35"/>
    <row r="146" spans="1:10" x14ac:dyDescent="0.35">
      <c r="A146" t="s">
        <v>85</v>
      </c>
      <c r="B146" t="s">
        <v>94</v>
      </c>
      <c r="C146" t="s">
        <v>53</v>
      </c>
      <c r="D146">
        <v>2</v>
      </c>
      <c r="H146">
        <v>253</v>
      </c>
      <c r="I146">
        <v>126.33</v>
      </c>
      <c r="J146" t="s">
        <v>97</v>
      </c>
    </row>
    <row r="147" spans="1:10" x14ac:dyDescent="0.35">
      <c r="A147" t="s">
        <v>110</v>
      </c>
      <c r="H147">
        <f>AVERAGE(SUM(401+470+405)/3)</f>
        <v>425.33333333333331</v>
      </c>
      <c r="I147">
        <f>AVERAGE(SUM(123.33+127.41+113.51)/3)</f>
        <v>121.41666666666667</v>
      </c>
      <c r="J147">
        <f>AVERAGE(SUM(0.33+0.62+0.75)/3)</f>
        <v>0.56666666666666665</v>
      </c>
    </row>
    <row r="148" spans="1:10" x14ac:dyDescent="0.35">
      <c r="A148" t="s">
        <v>109</v>
      </c>
      <c r="H148">
        <v>387</v>
      </c>
      <c r="I148">
        <v>110.25</v>
      </c>
      <c r="J148">
        <v>0.3</v>
      </c>
    </row>
    <row r="149" spans="1:10" x14ac:dyDescent="0.35">
      <c r="A149" t="s">
        <v>108</v>
      </c>
      <c r="H149">
        <f>AVERAGE(SUM(37+119)/2)</f>
        <v>78</v>
      </c>
      <c r="I149">
        <f>AVERAGE(SUM(104.87+103.44)/2)</f>
        <v>104.155</v>
      </c>
      <c r="J149">
        <f>AVERAGE(SUM(0.33+0.25)/2)</f>
        <v>0.29000000000000004</v>
      </c>
    </row>
    <row r="150" spans="1:10" x14ac:dyDescent="0.35">
      <c r="A150" t="s">
        <v>111</v>
      </c>
      <c r="H150">
        <f>AVERAGE(SUM(131+601+231)/3)</f>
        <v>321</v>
      </c>
      <c r="I150">
        <f>AVERAGE(SUM(97.51+99.83+127.59)/3)</f>
        <v>108.31</v>
      </c>
      <c r="J150">
        <f>AVERAGE(SUM(0.24+0.25+0.73)/3)</f>
        <v>0.40666666666666668</v>
      </c>
    </row>
    <row r="151" spans="1:10" x14ac:dyDescent="0.35">
      <c r="A151" t="s">
        <v>121</v>
      </c>
      <c r="H151">
        <f>AVERAGE(SUM(252+81+367)/3)</f>
        <v>233.33333333333334</v>
      </c>
      <c r="I151">
        <f>AVERAGE(SUM(55.5+54.5+54.14)/3)</f>
        <v>54.713333333333331</v>
      </c>
      <c r="J151">
        <f>AVERAGE(SUM(3.64+1.64+1.07)/3)</f>
        <v>2.1166666666666667</v>
      </c>
    </row>
    <row r="153" spans="1:10" x14ac:dyDescent="0.35">
      <c r="A153" t="s">
        <v>86</v>
      </c>
      <c r="B153" t="s">
        <v>94</v>
      </c>
      <c r="C153" t="s">
        <v>88</v>
      </c>
      <c r="D153">
        <v>2</v>
      </c>
      <c r="E153" t="s">
        <v>127</v>
      </c>
      <c r="H153">
        <v>456</v>
      </c>
      <c r="I153">
        <v>34.67</v>
      </c>
      <c r="J153">
        <v>1.08</v>
      </c>
    </row>
    <row r="154" spans="1:10" x14ac:dyDescent="0.35">
      <c r="A154" t="s">
        <v>110</v>
      </c>
      <c r="H154">
        <f>AVERAGE(SUM(575+805+942)/3)</f>
        <v>774</v>
      </c>
      <c r="I154">
        <f>AVERAGE(SUM(29.91+32.38+30.67)/3)</f>
        <v>30.986666666666668</v>
      </c>
      <c r="J154">
        <f>AVERAGE(SUM(5.5+4.02+2.34)/3)</f>
        <v>3.9533333333333331</v>
      </c>
    </row>
    <row r="155" spans="1:10" x14ac:dyDescent="0.35">
      <c r="A155" t="s">
        <v>109</v>
      </c>
      <c r="H155">
        <f>AVERAGE(SUM(1036+589)/2)</f>
        <v>812.5</v>
      </c>
      <c r="I155">
        <f>AVERAGE(SUM(29.61+30.96)/2)</f>
        <v>30.285</v>
      </c>
      <c r="J155">
        <f>AVERAGE(SUM(2.69+5.07)/2)</f>
        <v>3.88</v>
      </c>
    </row>
    <row r="156" spans="1:10" x14ac:dyDescent="0.35">
      <c r="A156" t="s">
        <v>108</v>
      </c>
      <c r="H156">
        <f>AVERAGE(SUM(236+187)/2)</f>
        <v>211.5</v>
      </c>
      <c r="I156">
        <f>AVERAGE(SUM(30.16+29.76)/2)</f>
        <v>29.96</v>
      </c>
      <c r="J156">
        <f>AVERAGE(SUM(2.24+1.56)/2)</f>
        <v>1.9000000000000001</v>
      </c>
    </row>
    <row r="157" spans="1:10" x14ac:dyDescent="0.35">
      <c r="A157" t="s">
        <v>111</v>
      </c>
      <c r="H157">
        <f>AVERAGE(SUM(1361+241+789)/3)</f>
        <v>797</v>
      </c>
      <c r="I157">
        <f>AVERAGE(SUM(29.7+30.39+29.78)/3)</f>
        <v>29.956666666666667</v>
      </c>
      <c r="J157">
        <f>AVERAGE(SUM(1.47+5.86+1.8)/3)</f>
        <v>3.0433333333333334</v>
      </c>
    </row>
    <row r="158" spans="1:10" x14ac:dyDescent="0.35">
      <c r="A158" t="s">
        <v>121</v>
      </c>
      <c r="H158">
        <f>AVERAGE(SUM(369+405)/2)</f>
        <v>387</v>
      </c>
      <c r="I158">
        <f>AVERAGE(SUM(32.1+31.32)/2)</f>
        <v>31.71</v>
      </c>
      <c r="J158">
        <f>AVERAGE(SUM(4.55+2.01)/2)</f>
        <v>3.28</v>
      </c>
    </row>
    <row r="160" spans="1:10" x14ac:dyDescent="0.35">
      <c r="A160" t="s">
        <v>87</v>
      </c>
      <c r="B160" t="s">
        <v>94</v>
      </c>
      <c r="C160" t="s">
        <v>10</v>
      </c>
      <c r="D160">
        <v>2</v>
      </c>
      <c r="E160">
        <f>AVERAGE(SUM(691.42+711.85)/2)</f>
        <v>701.63499999999999</v>
      </c>
    </row>
    <row r="161" spans="1:10" x14ac:dyDescent="0.35">
      <c r="A161" t="s">
        <v>110</v>
      </c>
      <c r="H161">
        <f>AVERAGE(SUM(184+415)/2)</f>
        <v>299.5</v>
      </c>
      <c r="I161">
        <f>AVERAGE(SUM(100.88+117)/2)</f>
        <v>108.94</v>
      </c>
      <c r="J161">
        <f>AVERAGE(SUM(1.5+1.36)/2)</f>
        <v>1.4300000000000002</v>
      </c>
    </row>
    <row r="162" spans="1:10" x14ac:dyDescent="0.35">
      <c r="A162" t="s">
        <v>109</v>
      </c>
      <c r="H162">
        <f>AVERAGE(SUM(717+377+318)/3)</f>
        <v>470.66666666666669</v>
      </c>
      <c r="I162">
        <f>AVERAGE(SUM(100.46+98.85+96.24)/3)</f>
        <v>98.516666666666666</v>
      </c>
      <c r="J162">
        <f>AVERAGE(SUM(1.05+1.19+1.04)/3)</f>
        <v>1.0933333333333335</v>
      </c>
    </row>
    <row r="163" spans="1:10" x14ac:dyDescent="0.35">
      <c r="A163" t="s">
        <v>108</v>
      </c>
      <c r="H163">
        <v>107</v>
      </c>
      <c r="I163">
        <v>112.84</v>
      </c>
      <c r="J163">
        <v>1.37</v>
      </c>
    </row>
    <row r="164" spans="1:10" x14ac:dyDescent="0.35">
      <c r="A164" t="s">
        <v>111</v>
      </c>
      <c r="H164">
        <f>AVERAGE(SUM(638+237+85)/3)</f>
        <v>320</v>
      </c>
      <c r="I164">
        <f>AVERAGE(SUM(96.02+99.62+94.17)/3)</f>
        <v>96.603333333333339</v>
      </c>
      <c r="J164">
        <f>AVERAGE(SUM(1.01+1.15+1.04)/3)</f>
        <v>1.0666666666666667</v>
      </c>
    </row>
    <row r="165" spans="1:10" x14ac:dyDescent="0.35">
      <c r="A165" t="s">
        <v>121</v>
      </c>
      <c r="H165">
        <f>AVERAGE(SUM(233+62+148)/3)</f>
        <v>147.66666666666666</v>
      </c>
      <c r="I165">
        <f>AVERAGE(SUM(92.71+93.79+89.89)/3)</f>
        <v>92.13</v>
      </c>
      <c r="J165">
        <f>AVERAGE(SUM(1+1.03+1.07)/3)</f>
        <v>1.0333333333333334</v>
      </c>
    </row>
    <row r="167" spans="1:10" x14ac:dyDescent="0.35">
      <c r="A167" t="s">
        <v>89</v>
      </c>
      <c r="B167" t="s">
        <v>94</v>
      </c>
      <c r="C167" t="s">
        <v>13</v>
      </c>
      <c r="D167">
        <v>2</v>
      </c>
      <c r="E167">
        <v>440.55</v>
      </c>
    </row>
    <row r="168" spans="1:10" x14ac:dyDescent="0.35">
      <c r="A168" t="s">
        <v>110</v>
      </c>
      <c r="H168">
        <f>AVERAGE(SUM(521+562)/2)</f>
        <v>541.5</v>
      </c>
      <c r="I168">
        <f>AVERAGE(SUM(46.95+56.58)/2)</f>
        <v>51.765000000000001</v>
      </c>
      <c r="J168">
        <f>AVERAGE(SUM(2.54+1.93)/2)</f>
        <v>2.2349999999999999</v>
      </c>
    </row>
    <row r="169" spans="1:10" x14ac:dyDescent="0.35">
      <c r="A169" t="s">
        <v>109</v>
      </c>
      <c r="H169">
        <f>AVERAGE(SUM(784+5760/2))</f>
        <v>3664</v>
      </c>
      <c r="I169">
        <f>AVERAGE(SUM(51.55+47.33)/2)</f>
        <v>49.44</v>
      </c>
      <c r="J169">
        <f>AVERAGE(SUM(1.04+1.27)/2)</f>
        <v>1.155</v>
      </c>
    </row>
    <row r="170" spans="1:10" x14ac:dyDescent="0.35">
      <c r="A170" t="s">
        <v>108</v>
      </c>
      <c r="H170">
        <f>AVERAGE(SUM(68+72)/2)</f>
        <v>70</v>
      </c>
      <c r="I170">
        <f>AVERAGE(SUM(58.37+56.87)/2)</f>
        <v>57.62</v>
      </c>
      <c r="J170">
        <f>AVERAGE(SUM(1.92+0.73)/2)</f>
        <v>1.325</v>
      </c>
    </row>
    <row r="171" spans="1:10" x14ac:dyDescent="0.35">
      <c r="A171" t="s">
        <v>111</v>
      </c>
      <c r="H171">
        <f>AVERAGE(SUM(477+433)/2)</f>
        <v>455</v>
      </c>
      <c r="I171">
        <f>AVERAGE(SUM(55.5+52.14)/2)</f>
        <v>53.82</v>
      </c>
      <c r="J171">
        <f>AVERAGE(SUM(0.71+0.97)/2)</f>
        <v>0.84</v>
      </c>
    </row>
    <row r="172" spans="1:10" x14ac:dyDescent="0.35">
      <c r="A172" t="s">
        <v>121</v>
      </c>
      <c r="H172">
        <f>AVERAGE(SUM(449+44+306)/3)</f>
        <v>266.33333333333331</v>
      </c>
      <c r="I172">
        <f>AVERAGE(SUM(49.11+41.91+45)/3)</f>
        <v>45.339999999999996</v>
      </c>
      <c r="J172">
        <f>AVERAGE(SUM(0.94+2.24+0.77)/3)</f>
        <v>1.3166666666666667</v>
      </c>
    </row>
    <row r="174" spans="1:10" x14ac:dyDescent="0.35">
      <c r="A174" t="s">
        <v>90</v>
      </c>
      <c r="B174" t="s">
        <v>94</v>
      </c>
      <c r="C174" t="s">
        <v>59</v>
      </c>
      <c r="D174">
        <v>2</v>
      </c>
    </row>
    <row r="175" spans="1:10" x14ac:dyDescent="0.35">
      <c r="A175" t="s">
        <v>110</v>
      </c>
    </row>
    <row r="176" spans="1:10" x14ac:dyDescent="0.35">
      <c r="A176" t="s">
        <v>109</v>
      </c>
    </row>
    <row r="177" spans="1:4" x14ac:dyDescent="0.35">
      <c r="A177" t="s">
        <v>108</v>
      </c>
    </row>
    <row r="178" spans="1:4" x14ac:dyDescent="0.35">
      <c r="A178" t="s">
        <v>111</v>
      </c>
    </row>
    <row r="179" spans="1:4" x14ac:dyDescent="0.35">
      <c r="A179" t="s">
        <v>121</v>
      </c>
    </row>
    <row r="182" spans="1:4" x14ac:dyDescent="0.35">
      <c r="A182" t="s">
        <v>105</v>
      </c>
      <c r="B182" t="s">
        <v>94</v>
      </c>
      <c r="C182" t="s">
        <v>7</v>
      </c>
      <c r="D18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9A0E-3309-4C20-8FF4-9BF737DBA866}">
  <dimension ref="A2:J212"/>
  <sheetViews>
    <sheetView tabSelected="1" topLeftCell="A191" zoomScale="70" zoomScaleNormal="70" workbookViewId="0">
      <selection activeCell="E207" sqref="E207"/>
    </sheetView>
  </sheetViews>
  <sheetFormatPr defaultRowHeight="14.5" x14ac:dyDescent="0.35"/>
  <cols>
    <col min="1" max="1" width="21.7265625" bestFit="1" customWidth="1"/>
    <col min="2" max="2" width="15.54296875" customWidth="1"/>
    <col min="3" max="3" width="13.81640625" customWidth="1"/>
    <col min="4" max="4" width="13.54296875" customWidth="1"/>
    <col min="5" max="7" width="19.26953125" customWidth="1"/>
    <col min="8" max="8" width="23.7265625" customWidth="1"/>
    <col min="9" max="9" width="23.54296875" customWidth="1"/>
    <col min="10" max="10" width="35.54296875" customWidth="1"/>
  </cols>
  <sheetData>
    <row r="2" spans="1:10" x14ac:dyDescent="0.35">
      <c r="A2" s="1" t="s">
        <v>0</v>
      </c>
      <c r="B2" s="1" t="s">
        <v>1</v>
      </c>
      <c r="C2" s="1" t="s">
        <v>6</v>
      </c>
      <c r="D2" s="1" t="s">
        <v>2</v>
      </c>
      <c r="E2" s="1" t="s">
        <v>4</v>
      </c>
      <c r="F2" s="1" t="s">
        <v>92</v>
      </c>
      <c r="G2" s="1" t="s">
        <v>93</v>
      </c>
      <c r="H2" s="1" t="s">
        <v>56</v>
      </c>
      <c r="I2" s="1"/>
      <c r="J2" s="1"/>
    </row>
    <row r="4" spans="1:10" x14ac:dyDescent="0.35">
      <c r="A4" t="s">
        <v>9</v>
      </c>
      <c r="B4" t="s">
        <v>91</v>
      </c>
      <c r="C4" t="s">
        <v>10</v>
      </c>
      <c r="D4">
        <v>1</v>
      </c>
      <c r="E4">
        <v>4</v>
      </c>
    </row>
    <row r="5" spans="1:10" x14ac:dyDescent="0.35">
      <c r="A5" t="s">
        <v>110</v>
      </c>
      <c r="F5">
        <v>2243.48</v>
      </c>
      <c r="G5">
        <v>189.42</v>
      </c>
    </row>
    <row r="6" spans="1:10" x14ac:dyDescent="0.35">
      <c r="A6" t="s">
        <v>109</v>
      </c>
      <c r="F6">
        <f>AVERAGE(SUM(2221.5+2589.75+2901.5)/3)</f>
        <v>2570.9166666666665</v>
      </c>
      <c r="G6">
        <f>AVERAGE(SUM(129.3+160.12+145.98)/3)</f>
        <v>145.13333333333333</v>
      </c>
    </row>
    <row r="7" spans="1:10" x14ac:dyDescent="0.35">
      <c r="A7" t="s">
        <v>108</v>
      </c>
      <c r="F7">
        <f>AVERAGE(SUM(1821.67+2254.2+2803.11)/3)</f>
        <v>2292.9933333333333</v>
      </c>
      <c r="G7">
        <f>AVERAGE(SUM(89.23+101.45+112.19)/3)</f>
        <v>100.95666666666666</v>
      </c>
    </row>
    <row r="8" spans="1:10" x14ac:dyDescent="0.35">
      <c r="A8" t="s">
        <v>111</v>
      </c>
      <c r="F8">
        <f>AVERAGE(SUM(2789.1+1965.23+2071.5)/3)</f>
        <v>2275.2766666666666</v>
      </c>
      <c r="G8">
        <f>AVERAGE(SUM(93.12+137.6+121.5)/3)</f>
        <v>117.40666666666668</v>
      </c>
    </row>
    <row r="9" spans="1:10" x14ac:dyDescent="0.35">
      <c r="A9" t="s">
        <v>119</v>
      </c>
      <c r="F9">
        <f>AVERAGE(SUM(1743.98+2765.12+2520.1)/3)</f>
        <v>2343.0666666666671</v>
      </c>
      <c r="G9">
        <f>AVERAGE(SUM(175.33+98.41+105.65)/3)</f>
        <v>126.46333333333332</v>
      </c>
    </row>
    <row r="11" spans="1:10" x14ac:dyDescent="0.35">
      <c r="A11" t="s">
        <v>11</v>
      </c>
      <c r="B11" t="s">
        <v>94</v>
      </c>
      <c r="C11" t="s">
        <v>18</v>
      </c>
      <c r="D11">
        <v>2</v>
      </c>
      <c r="E11">
        <v>4</v>
      </c>
      <c r="F11">
        <v>19465.849999999999</v>
      </c>
      <c r="G11">
        <v>85.87</v>
      </c>
    </row>
    <row r="12" spans="1:10" x14ac:dyDescent="0.35">
      <c r="A12" t="s">
        <v>110</v>
      </c>
      <c r="F12">
        <f>AVERAGE(SUM(34021.5+13051.46+23980.12)/3)</f>
        <v>23684.36</v>
      </c>
      <c r="G12">
        <f>AVERAGE(SUM(84.91+81.11+86.52)/3)</f>
        <v>84.179999999999993</v>
      </c>
    </row>
    <row r="13" spans="1:10" x14ac:dyDescent="0.35">
      <c r="A13" t="s">
        <v>109</v>
      </c>
      <c r="F13">
        <f>AVERAGE(SUM(4511.3+3458.1+7743.23)/3)</f>
        <v>5237.5433333333331</v>
      </c>
      <c r="G13">
        <f>AVERAGE(SUM(82.15+89.1+93.45)/3)</f>
        <v>88.233333333333334</v>
      </c>
    </row>
    <row r="14" spans="1:10" x14ac:dyDescent="0.35">
      <c r="A14" t="s">
        <v>108</v>
      </c>
      <c r="F14">
        <f>AVERAGE(SUM(46091.36+31265.77+53901.23)/3)</f>
        <v>43752.786666666674</v>
      </c>
      <c r="G14">
        <f>AVERAGE(SUM(80.12+92.28+81.27)/3)</f>
        <v>84.556666666666672</v>
      </c>
    </row>
    <row r="15" spans="1:10" x14ac:dyDescent="0.35">
      <c r="A15" t="s">
        <v>111</v>
      </c>
      <c r="F15">
        <f>AVERAGE(SUM(4531.88+65289.12+21190.45)/3)</f>
        <v>30337.149999999998</v>
      </c>
      <c r="G15">
        <f>AVERAGE(SUM(89.9+82.41+85.57)/3)</f>
        <v>85.96</v>
      </c>
    </row>
    <row r="16" spans="1:10" x14ac:dyDescent="0.35">
      <c r="A16" t="s">
        <v>119</v>
      </c>
    </row>
    <row r="18" spans="1:7" x14ac:dyDescent="0.35">
      <c r="A18" t="s">
        <v>12</v>
      </c>
      <c r="B18" t="s">
        <v>94</v>
      </c>
      <c r="C18" t="s">
        <v>13</v>
      </c>
      <c r="D18">
        <v>1</v>
      </c>
      <c r="E18">
        <v>4</v>
      </c>
      <c r="F18">
        <v>1237.0899999999999</v>
      </c>
      <c r="G18">
        <v>92.51</v>
      </c>
    </row>
    <row r="19" spans="1:7" x14ac:dyDescent="0.35">
      <c r="A19" t="s">
        <v>110</v>
      </c>
      <c r="F19">
        <v>195.95</v>
      </c>
      <c r="G19">
        <v>69.8</v>
      </c>
    </row>
    <row r="20" spans="1:7" x14ac:dyDescent="0.35">
      <c r="A20" t="s">
        <v>109</v>
      </c>
      <c r="F20">
        <f>AVERAGE(SUM(605.8+552.16+6396.55)/3)</f>
        <v>2518.17</v>
      </c>
      <c r="G20">
        <f>AVERAGE(SUM(75.21+72.44+68.19)/3)</f>
        <v>71.946666666666658</v>
      </c>
    </row>
    <row r="21" spans="1:7" x14ac:dyDescent="0.35">
      <c r="A21" t="s">
        <v>108</v>
      </c>
      <c r="F21">
        <f>+AVERAGE(SUM(4140.25+12945.55+13813.29)/3)</f>
        <v>10299.696666666667</v>
      </c>
      <c r="G21">
        <f>+AVERAGE(SUM(68.08+66.53+66.23)/3)</f>
        <v>66.946666666666673</v>
      </c>
    </row>
    <row r="22" spans="1:7" x14ac:dyDescent="0.35">
      <c r="A22" t="s">
        <v>111</v>
      </c>
      <c r="F22">
        <f>AVERAGE(SUM(15761.19+18484.7+21911.51)/3)</f>
        <v>18719.133333333331</v>
      </c>
      <c r="G22">
        <f>+AVERAGE(SUM(67.06+63.87+59.96)/3)</f>
        <v>63.63</v>
      </c>
    </row>
    <row r="23" spans="1:7" x14ac:dyDescent="0.35">
      <c r="A23" t="s">
        <v>119</v>
      </c>
      <c r="F23">
        <f>AVERAGE(SUM(1332.25+1464.34)/2)</f>
        <v>1398.2950000000001</v>
      </c>
      <c r="G23">
        <f>AVERAGE(SUM(59.46+58.71)/2)</f>
        <v>59.085000000000001</v>
      </c>
    </row>
    <row r="25" spans="1:7" x14ac:dyDescent="0.35">
      <c r="A25" t="s">
        <v>14</v>
      </c>
      <c r="B25" t="s">
        <v>94</v>
      </c>
      <c r="C25" t="s">
        <v>17</v>
      </c>
      <c r="D25">
        <v>1</v>
      </c>
      <c r="E25">
        <v>4</v>
      </c>
    </row>
    <row r="26" spans="1:7" s="6" customFormat="1" x14ac:dyDescent="0.35">
      <c r="A26" s="6" t="s">
        <v>110</v>
      </c>
      <c r="F26" s="5">
        <f>AVERAGE(SUM(541.06+616.37+9697.6)/3)</f>
        <v>3618.3433333333337</v>
      </c>
      <c r="G26" s="5">
        <f>+AVERAGE(SUM(34.29+34.3+43.07)/3)</f>
        <v>37.22</v>
      </c>
    </row>
    <row r="27" spans="1:7" s="5" customFormat="1" x14ac:dyDescent="0.35">
      <c r="A27" s="5" t="s">
        <v>109</v>
      </c>
      <c r="F27" s="5">
        <f>AVERAGE(SUM(600.35+11512.16+13510.59)/3)</f>
        <v>8541.0333333333328</v>
      </c>
      <c r="G27" s="5">
        <f>AVERAGE(SUM(35.24+34.31+33.71)/3)</f>
        <v>34.420000000000009</v>
      </c>
    </row>
    <row r="28" spans="1:7" x14ac:dyDescent="0.35">
      <c r="A28" t="s">
        <v>108</v>
      </c>
      <c r="F28">
        <f>AVERAGE(SUM(621.88+627.75)/2)</f>
        <v>624.81500000000005</v>
      </c>
      <c r="G28">
        <f>AVERAGE(SUM(33.09+34.09)/2)</f>
        <v>33.590000000000003</v>
      </c>
    </row>
    <row r="29" spans="1:7" x14ac:dyDescent="0.35">
      <c r="A29" t="s">
        <v>111</v>
      </c>
      <c r="F29">
        <f>AVERAGE(SUM(630.29+631.55+624.08)/3)</f>
        <v>628.64</v>
      </c>
      <c r="G29">
        <f>AVERAGE(SUM(33.82+33.73+34.44)/3)</f>
        <v>33.996666666666663</v>
      </c>
    </row>
    <row r="30" spans="1:7" x14ac:dyDescent="0.35">
      <c r="A30" t="s">
        <v>119</v>
      </c>
      <c r="F30">
        <f>AVERAGE(SUM(13933.37+634.68)/2)</f>
        <v>7284.0250000000005</v>
      </c>
      <c r="G30">
        <f>AVERAGE(SUM(33.85+33.74)/2)</f>
        <v>33.795000000000002</v>
      </c>
    </row>
    <row r="32" spans="1:7" x14ac:dyDescent="0.35">
      <c r="A32" t="s">
        <v>15</v>
      </c>
      <c r="B32" t="s">
        <v>94</v>
      </c>
      <c r="C32" t="s">
        <v>16</v>
      </c>
      <c r="D32">
        <v>2</v>
      </c>
      <c r="E32">
        <v>4</v>
      </c>
    </row>
    <row r="33" spans="1:7" s="7" customFormat="1" x14ac:dyDescent="0.35">
      <c r="A33" s="7" t="s">
        <v>110</v>
      </c>
      <c r="F33" s="7">
        <f>AVERAGE(SUM(354.67+303.2+299.63)/3)</f>
        <v>319.16666666666669</v>
      </c>
      <c r="G33" s="7">
        <f>AVERAGE(SUM(18.3+18.26+18.24)/3)</f>
        <v>18.266666666666666</v>
      </c>
    </row>
    <row r="34" spans="1:7" s="8" customFormat="1" x14ac:dyDescent="0.35">
      <c r="A34" s="8" t="s">
        <v>109</v>
      </c>
      <c r="F34" s="8">
        <f>AVERAGE(SUM(291.85+5512.12+308.68+306.83)/4)</f>
        <v>1604.8700000000001</v>
      </c>
      <c r="G34" s="8">
        <f>AVERAGE(SUM(18.47+18.28+18.25+18.33)/4)</f>
        <v>18.3325</v>
      </c>
    </row>
    <row r="35" spans="1:7" s="7" customFormat="1" x14ac:dyDescent="0.35">
      <c r="A35" s="7" t="s">
        <v>108</v>
      </c>
      <c r="F35" s="7">
        <f>AVERAGE(SUM(315.47+6391.68+7133)/3)</f>
        <v>4613.3833333333341</v>
      </c>
      <c r="G35" s="7">
        <f>AVERAGE(SUM(18.75+18.5+18.31)/3)</f>
        <v>18.52</v>
      </c>
    </row>
    <row r="36" spans="1:7" x14ac:dyDescent="0.35">
      <c r="A36" t="s">
        <v>111</v>
      </c>
      <c r="F36">
        <f>AVERAGE(SUM(284.52+314.61+299.27)/3)</f>
        <v>299.46666666666664</v>
      </c>
      <c r="G36">
        <f>AVERAGE(SUM(18.35+18.22+18.28)/3)</f>
        <v>18.283333333333335</v>
      </c>
    </row>
    <row r="37" spans="1:7" x14ac:dyDescent="0.35">
      <c r="A37" t="s">
        <v>119</v>
      </c>
      <c r="F37">
        <f>AVERAGE(SUM(304.97+305.24+285.34)/3)</f>
        <v>298.51666666666665</v>
      </c>
      <c r="G37">
        <f>AVERAGE(SUM(18.24+18.25+18.37)/3)</f>
        <v>18.286666666666665</v>
      </c>
    </row>
    <row r="39" spans="1:7" x14ac:dyDescent="0.35">
      <c r="A39" t="s">
        <v>19</v>
      </c>
      <c r="B39" t="s">
        <v>94</v>
      </c>
      <c r="C39" t="s">
        <v>8</v>
      </c>
      <c r="D39">
        <v>1</v>
      </c>
      <c r="E39">
        <v>4</v>
      </c>
    </row>
    <row r="40" spans="1:7" s="7" customFormat="1" x14ac:dyDescent="0.35">
      <c r="A40" s="7" t="s">
        <v>110</v>
      </c>
      <c r="F40" s="7">
        <f>AVERAGE(SUM(1880.64+33903.1+2467.68)/3)</f>
        <v>12750.473333333333</v>
      </c>
      <c r="G40" s="7">
        <f>AVERAGE(SUM(101.13+96.88+96.81)/3)</f>
        <v>98.273333333333326</v>
      </c>
    </row>
    <row r="41" spans="1:7" s="8" customFormat="1" x14ac:dyDescent="0.35">
      <c r="A41" s="8" t="s">
        <v>109</v>
      </c>
      <c r="F41" s="8">
        <f>AVERAGE(SUM(2578.6+2531.41+2478.23+2480.43)/4)</f>
        <v>2517.1675</v>
      </c>
      <c r="G41" s="8">
        <f>AVERAGE(SUM(96.53+97.39+96.98+97.56)/4)</f>
        <v>97.115000000000009</v>
      </c>
    </row>
    <row r="42" spans="1:7" s="7" customFormat="1" x14ac:dyDescent="0.35">
      <c r="A42" s="7" t="s">
        <v>108</v>
      </c>
      <c r="F42" s="7">
        <f>AVERAGE(SUM(2372.99+29869.49+2382.98)/3)</f>
        <v>11541.820000000002</v>
      </c>
      <c r="G42" s="7">
        <f>AVERAGE(SUM(99.99+95.01+103.44)/3)</f>
        <v>99.48</v>
      </c>
    </row>
    <row r="43" spans="1:7" s="7" customFormat="1" x14ac:dyDescent="0.35">
      <c r="A43" s="7" t="s">
        <v>111</v>
      </c>
      <c r="F43" s="7">
        <f>AVERAGE(SUM(31834.4+2416.51+2516.81)/3)</f>
        <v>12255.906666666668</v>
      </c>
      <c r="G43" s="7">
        <f>AVERAGE(SUM(98.67+97.34+96.62)/3)</f>
        <v>97.543333333333337</v>
      </c>
    </row>
    <row r="44" spans="1:7" x14ac:dyDescent="0.35">
      <c r="A44" t="s">
        <v>119</v>
      </c>
      <c r="F44">
        <f>AVERAGE(SUM(36811.26+36082.57+38515.49+2432.18)/4)</f>
        <v>28460.375</v>
      </c>
      <c r="G44">
        <f>AVERAGE(SUM(93.09+90.62+94.67+98.11)/4)</f>
        <v>94.122500000000002</v>
      </c>
    </row>
    <row r="46" spans="1:7" x14ac:dyDescent="0.35">
      <c r="A46" t="s">
        <v>20</v>
      </c>
      <c r="C46" t="s">
        <v>21</v>
      </c>
      <c r="D46">
        <v>2</v>
      </c>
      <c r="E46">
        <v>4</v>
      </c>
    </row>
    <row r="47" spans="1:7" s="6" customFormat="1" x14ac:dyDescent="0.35">
      <c r="A47" s="6" t="s">
        <v>110</v>
      </c>
      <c r="F47" s="6">
        <f>AVERAGE(SUM(142.47+1160.94+2032.72)/3)</f>
        <v>1112.0433333333333</v>
      </c>
      <c r="G47" s="6">
        <f>AVERAGE(SUM(77.05+75.45+73.15)/3)</f>
        <v>75.216666666666669</v>
      </c>
    </row>
    <row r="48" spans="1:7" s="5" customFormat="1" x14ac:dyDescent="0.35">
      <c r="A48" s="5" t="s">
        <v>109</v>
      </c>
      <c r="F48" s="5">
        <f>AVERAGE(SUM(3325.7+5260.28)/2)</f>
        <v>4292.99</v>
      </c>
      <c r="G48" s="5">
        <f>AVERAGE(SUM(70.73+69.03)/2)</f>
        <v>69.88</v>
      </c>
    </row>
    <row r="49" spans="1:7" x14ac:dyDescent="0.35">
      <c r="A49" t="s">
        <v>108</v>
      </c>
      <c r="F49">
        <f>AVERAGE(SUM(1176.35+1105.6+1115.11)/3)</f>
        <v>1132.3533333333332</v>
      </c>
      <c r="G49">
        <f>AVERAGE(SUM(69.53+69.56+71.13)/3)</f>
        <v>70.073333333333338</v>
      </c>
    </row>
    <row r="50" spans="1:7" x14ac:dyDescent="0.35">
      <c r="A50" t="s">
        <v>111</v>
      </c>
    </row>
    <row r="51" spans="1:7" x14ac:dyDescent="0.35">
      <c r="A51" t="s">
        <v>119</v>
      </c>
    </row>
    <row r="53" spans="1:7" x14ac:dyDescent="0.35">
      <c r="A53" t="s">
        <v>22</v>
      </c>
      <c r="B53" t="s">
        <v>94</v>
      </c>
      <c r="C53" t="s">
        <v>23</v>
      </c>
      <c r="D53">
        <v>1</v>
      </c>
      <c r="E53">
        <v>4</v>
      </c>
    </row>
    <row r="54" spans="1:7" x14ac:dyDescent="0.35">
      <c r="A54" t="s">
        <v>110</v>
      </c>
      <c r="F54">
        <f>AVERAGE(SUM(19026.45+7217.85+7318.93)/3)</f>
        <v>11187.743333333334</v>
      </c>
      <c r="G54">
        <f>AVERAGE(SUM(179.24+185.89+184.22)/3)</f>
        <v>183.11666666666667</v>
      </c>
    </row>
    <row r="55" spans="1:7" x14ac:dyDescent="0.35">
      <c r="A55" t="s">
        <v>109</v>
      </c>
      <c r="F55" t="s">
        <v>129</v>
      </c>
      <c r="G55" t="s">
        <v>129</v>
      </c>
    </row>
    <row r="56" spans="1:7" x14ac:dyDescent="0.35">
      <c r="A56" t="s">
        <v>108</v>
      </c>
      <c r="F56" t="s">
        <v>129</v>
      </c>
      <c r="G56" t="s">
        <v>129</v>
      </c>
    </row>
    <row r="57" spans="1:7" x14ac:dyDescent="0.35">
      <c r="A57" t="s">
        <v>111</v>
      </c>
      <c r="F57">
        <f>AVERAGE(SUM(7145.22+7285.5)/2)</f>
        <v>7215.3600000000006</v>
      </c>
      <c r="G57">
        <f>AVERAGE(SUM(183.73+185.08)/2)</f>
        <v>184.405</v>
      </c>
    </row>
    <row r="58" spans="1:7" x14ac:dyDescent="0.35">
      <c r="A58" t="s">
        <v>119</v>
      </c>
      <c r="F58" t="s">
        <v>129</v>
      </c>
      <c r="G58" t="s">
        <v>129</v>
      </c>
    </row>
    <row r="60" spans="1:7" s="5" customFormat="1" x14ac:dyDescent="0.35">
      <c r="A60" s="5" t="s">
        <v>24</v>
      </c>
      <c r="C60" s="5" t="s">
        <v>25</v>
      </c>
      <c r="D60" s="5">
        <v>2</v>
      </c>
      <c r="E60" s="5">
        <v>4</v>
      </c>
    </row>
    <row r="61" spans="1:7" x14ac:dyDescent="0.35">
      <c r="A61" t="s">
        <v>110</v>
      </c>
      <c r="F61">
        <f>AVERAGE(SUM(19026.45+7217.85+7318.93)/3)</f>
        <v>11187.743333333334</v>
      </c>
      <c r="G61">
        <f>AVERAGE(SUM(179.24+185.89+184.22)/3)</f>
        <v>183.11666666666667</v>
      </c>
    </row>
    <row r="62" spans="1:7" x14ac:dyDescent="0.35">
      <c r="A62" t="s">
        <v>109</v>
      </c>
      <c r="F62" t="s">
        <v>129</v>
      </c>
      <c r="G62" t="s">
        <v>129</v>
      </c>
    </row>
    <row r="63" spans="1:7" x14ac:dyDescent="0.35">
      <c r="A63" t="s">
        <v>108</v>
      </c>
      <c r="F63" t="s">
        <v>129</v>
      </c>
      <c r="G63" t="s">
        <v>129</v>
      </c>
    </row>
    <row r="64" spans="1:7" x14ac:dyDescent="0.35">
      <c r="A64" t="s">
        <v>111</v>
      </c>
      <c r="F64">
        <f>AVERAGE(SUM(7145.22+7285.5)/2)</f>
        <v>7215.3600000000006</v>
      </c>
      <c r="G64">
        <f>AVERAGE(SUM(183.73+185.08)/2)</f>
        <v>184.405</v>
      </c>
    </row>
    <row r="65" spans="1:7" x14ac:dyDescent="0.35">
      <c r="A65" t="s">
        <v>119</v>
      </c>
      <c r="F65" t="s">
        <v>129</v>
      </c>
      <c r="G65" t="s">
        <v>129</v>
      </c>
    </row>
    <row r="67" spans="1:7" s="5" customFormat="1" x14ac:dyDescent="0.35">
      <c r="A67" s="5" t="s">
        <v>26</v>
      </c>
      <c r="C67" s="5" t="s">
        <v>8</v>
      </c>
      <c r="D67" s="5">
        <v>2</v>
      </c>
      <c r="E67" s="5">
        <v>4</v>
      </c>
      <c r="F67" s="5">
        <f>AVERAGE(SUM(19026.45+7217.85+7318.93)/3)</f>
        <v>11187.743333333334</v>
      </c>
      <c r="G67" s="5">
        <f>AVERAGE(SUM(179.24+185.89+184.22)/3)</f>
        <v>183.11666666666667</v>
      </c>
    </row>
    <row r="68" spans="1:7" x14ac:dyDescent="0.35">
      <c r="A68" t="s">
        <v>110</v>
      </c>
      <c r="F68" t="s">
        <v>129</v>
      </c>
      <c r="G68" t="s">
        <v>129</v>
      </c>
    </row>
    <row r="69" spans="1:7" x14ac:dyDescent="0.35">
      <c r="A69" t="s">
        <v>109</v>
      </c>
      <c r="F69" t="s">
        <v>129</v>
      </c>
      <c r="G69" t="s">
        <v>129</v>
      </c>
    </row>
    <row r="70" spans="1:7" x14ac:dyDescent="0.35">
      <c r="A70" t="s">
        <v>108</v>
      </c>
      <c r="F70">
        <f>AVERAGE(SUM(7145.22+7285.5)/2)</f>
        <v>7215.3600000000006</v>
      </c>
      <c r="G70">
        <f>AVERAGE(SUM(183.73+185.08)/2)</f>
        <v>184.405</v>
      </c>
    </row>
    <row r="71" spans="1:7" x14ac:dyDescent="0.35">
      <c r="A71" t="s">
        <v>111</v>
      </c>
      <c r="F71" t="s">
        <v>129</v>
      </c>
      <c r="G71" t="s">
        <v>129</v>
      </c>
    </row>
    <row r="72" spans="1:7" x14ac:dyDescent="0.35">
      <c r="A72" t="s">
        <v>119</v>
      </c>
    </row>
    <row r="74" spans="1:7" x14ac:dyDescent="0.35">
      <c r="A74" t="s">
        <v>27</v>
      </c>
      <c r="C74" t="s">
        <v>10</v>
      </c>
      <c r="D74">
        <v>2</v>
      </c>
      <c r="E74">
        <v>4</v>
      </c>
    </row>
    <row r="75" spans="1:7" x14ac:dyDescent="0.35">
      <c r="A75" t="s">
        <v>110</v>
      </c>
      <c r="F75">
        <f>AVERAGE(SUM(5614.17+4856.69+4523.11)/3)</f>
        <v>4997.9900000000007</v>
      </c>
      <c r="G75">
        <f>AVERAGE(SUM(84.08+83.66+82.1)/3)</f>
        <v>83.28</v>
      </c>
    </row>
    <row r="76" spans="1:7" x14ac:dyDescent="0.35">
      <c r="A76" t="s">
        <v>109</v>
      </c>
      <c r="F76">
        <f>AVERAGE(SUM(2387.09+4513.42+12609.11)/3)</f>
        <v>6503.2066666666678</v>
      </c>
      <c r="G76">
        <f>AVERAGE(SUM(80.88+89.12+85.34)/3)</f>
        <v>85.11333333333333</v>
      </c>
    </row>
    <row r="77" spans="1:7" x14ac:dyDescent="0.35">
      <c r="A77" t="s">
        <v>108</v>
      </c>
      <c r="F77">
        <f>AVERAGE(SUM(5208.74+36197.37+1152.84)/3)</f>
        <v>14186.316666666666</v>
      </c>
      <c r="G77">
        <f>AVERAGE(SUM(80.91+81.34+79.25)/3)</f>
        <v>80.5</v>
      </c>
    </row>
    <row r="78" spans="1:7" x14ac:dyDescent="0.35">
      <c r="A78" t="s">
        <v>111</v>
      </c>
      <c r="F78">
        <f>AVERAGE(SUM(5956.71+30440.16+21550.56)/3)</f>
        <v>19315.810000000001</v>
      </c>
      <c r="G78">
        <f>AVERAGE(SUM(79.85+81.09+84.26+85.01+80.25)/5)</f>
        <v>82.091999999999999</v>
      </c>
    </row>
    <row r="79" spans="1:7" x14ac:dyDescent="0.35">
      <c r="A79" t="s">
        <v>119</v>
      </c>
      <c r="F79">
        <f>AVERAGE(SUM(191.1+1452.76+4306.63+3843.43)/3)</f>
        <v>3264.64</v>
      </c>
      <c r="G79">
        <f>AVERAGE(SUM(85.6+86.08+89.22)/3)</f>
        <v>86.966666666666654</v>
      </c>
    </row>
    <row r="81" spans="1:7" x14ac:dyDescent="0.35">
      <c r="A81" t="s">
        <v>28</v>
      </c>
      <c r="C81" t="s">
        <v>18</v>
      </c>
      <c r="D81">
        <v>2</v>
      </c>
      <c r="E81">
        <v>4</v>
      </c>
    </row>
    <row r="82" spans="1:7" x14ac:dyDescent="0.35">
      <c r="A82" t="s">
        <v>110</v>
      </c>
      <c r="F82">
        <f>AVERAGE(SUM(5614.17+4856.69+3789.25)/3)</f>
        <v>4753.37</v>
      </c>
      <c r="G82">
        <f>AVERAGE(SUM(84.08+83.66+80.64)/3)</f>
        <v>82.793333333333337</v>
      </c>
    </row>
    <row r="83" spans="1:7" x14ac:dyDescent="0.35">
      <c r="A83" t="s">
        <v>109</v>
      </c>
      <c r="F83">
        <f>AVERAGE(SUM(6212.01+4512.55+3210.99)/3)</f>
        <v>4645.1833333333334</v>
      </c>
      <c r="G83">
        <f>AVERAGE(SUM(77.12+83.45+78.89)/3)</f>
        <v>79.819999999999993</v>
      </c>
    </row>
    <row r="84" spans="1:7" x14ac:dyDescent="0.35">
      <c r="A84" t="s">
        <v>108</v>
      </c>
      <c r="F84">
        <f>AVERAGE(SUM(5208.74+2514.36+1274.35)/3)</f>
        <v>2999.15</v>
      </c>
      <c r="G84">
        <f>AVERAGE(SUM(80.91+81.34+75.22)/3)</f>
        <v>79.156666666666666</v>
      </c>
    </row>
    <row r="85" spans="1:7" x14ac:dyDescent="0.35">
      <c r="A85" t="s">
        <v>111</v>
      </c>
      <c r="F85">
        <f>AVERAGE(SUM(5956.71+30440.16+21550.56+20442.27)/4)</f>
        <v>19597.425000000003</v>
      </c>
      <c r="G85">
        <f>AVERAGE(SUM(79.85+81.09+84.26+83)/4)</f>
        <v>82.05</v>
      </c>
    </row>
    <row r="86" spans="1:7" x14ac:dyDescent="0.35">
      <c r="A86" t="s">
        <v>119</v>
      </c>
      <c r="F86">
        <f>AVERAGE(SUM(191.1+1452.76+4306.63+2547.36)/4)</f>
        <v>2124.4625000000001</v>
      </c>
      <c r="G86">
        <f>AVERAGE(SUM(85.6+86.08+89.22+85.25)/3)</f>
        <v>115.38333333333333</v>
      </c>
    </row>
    <row r="88" spans="1:7" x14ac:dyDescent="0.35">
      <c r="A88" t="s">
        <v>29</v>
      </c>
      <c r="C88" t="s">
        <v>30</v>
      </c>
      <c r="D88">
        <v>2</v>
      </c>
      <c r="E88">
        <v>4</v>
      </c>
    </row>
    <row r="89" spans="1:7" x14ac:dyDescent="0.35">
      <c r="A89" t="s">
        <v>110</v>
      </c>
      <c r="F89">
        <f>AVERAGE(SUM(5614.17+4856.69+1548.2)/3)</f>
        <v>4006.3533333333339</v>
      </c>
      <c r="G89">
        <f>AVERAGE(SUM(84.08+83.66+82.56)/3)</f>
        <v>83.433333333333337</v>
      </c>
    </row>
    <row r="90" spans="1:7" x14ac:dyDescent="0.35">
      <c r="A90" t="s">
        <v>109</v>
      </c>
      <c r="F90">
        <f>AVERAGE(SUM(1259.55+7854.54+9866.77)/3)</f>
        <v>6326.9533333333338</v>
      </c>
      <c r="G90">
        <f>AVERAGE(SUM(83.12+80.66+88.19)/3)</f>
        <v>83.99</v>
      </c>
    </row>
    <row r="91" spans="1:7" x14ac:dyDescent="0.35">
      <c r="A91" t="s">
        <v>108</v>
      </c>
      <c r="F91">
        <f>AVERAGE(SUM(5208.74+3697.37,4210.56)/3)</f>
        <v>4372.2233333333343</v>
      </c>
      <c r="G91">
        <f>AVERAGE(SUM(80.91+81.34)/2)</f>
        <v>81.125</v>
      </c>
    </row>
    <row r="92" spans="1:7" x14ac:dyDescent="0.35">
      <c r="A92" t="s">
        <v>111</v>
      </c>
      <c r="F92">
        <f>AVERAGE(SUM(6056.71+3440.16+2550.56+2442.27)/4)</f>
        <v>3622.4249999999997</v>
      </c>
      <c r="G92">
        <f>AVERAGE(SUM(79.85+81.09+84.26+85.01)/4)</f>
        <v>82.552499999999995</v>
      </c>
    </row>
    <row r="93" spans="1:7" x14ac:dyDescent="0.35">
      <c r="A93" t="s">
        <v>119</v>
      </c>
      <c r="F93">
        <f>AVERAGE(SUM(191.1+1452.76+306.63+3843.43)/4)</f>
        <v>1448.48</v>
      </c>
      <c r="G93">
        <f>AVERAGE(SUM(85.6+86.08+89.22+87.71)/4)</f>
        <v>87.152499999999989</v>
      </c>
    </row>
    <row r="95" spans="1:7" s="5" customFormat="1" x14ac:dyDescent="0.35">
      <c r="A95" s="5" t="s">
        <v>31</v>
      </c>
      <c r="B95" s="5" t="s">
        <v>94</v>
      </c>
      <c r="C95" s="5" t="s">
        <v>32</v>
      </c>
      <c r="D95" s="5">
        <v>2</v>
      </c>
      <c r="E95" s="5">
        <v>4</v>
      </c>
    </row>
    <row r="96" spans="1:7" x14ac:dyDescent="0.35">
      <c r="A96" t="s">
        <v>110</v>
      </c>
      <c r="F96">
        <f>AVERAGE(SUM(5614.17+4856.69)/2)</f>
        <v>5235.43</v>
      </c>
      <c r="G96">
        <f>AVERAGE(SUM(84.08+83.66)/2)</f>
        <v>83.87</v>
      </c>
    </row>
    <row r="97" spans="1:7" x14ac:dyDescent="0.35">
      <c r="A97" t="s">
        <v>109</v>
      </c>
      <c r="F97">
        <f>AVERAGE(SUM(4313.44+5602.99+7520.33,5218.75)/4)</f>
        <v>5663.8775000000005</v>
      </c>
      <c r="G97">
        <f>AVERAGE(SUM(85.4+82.32+79.28+88.43)/4)</f>
        <v>83.857500000000002</v>
      </c>
    </row>
    <row r="98" spans="1:7" x14ac:dyDescent="0.35">
      <c r="A98" t="s">
        <v>108</v>
      </c>
      <c r="F98">
        <f>AVERAGE(SUM(5208.74+36197.37)/2)</f>
        <v>20703.055</v>
      </c>
      <c r="G98">
        <f>AVERAGE(SUM(80.91+81.34)/2)</f>
        <v>81.125</v>
      </c>
    </row>
    <row r="99" spans="1:7" x14ac:dyDescent="0.35">
      <c r="A99" t="s">
        <v>111</v>
      </c>
      <c r="F99">
        <f>AVERAGE(SUM(5956.71+30440.16+21550.56+20442.27)/4)</f>
        <v>19597.425000000003</v>
      </c>
      <c r="G99">
        <f>AVERAGE(SUM(79.85+81.09+84.26+85.01)/4)</f>
        <v>82.552499999999995</v>
      </c>
    </row>
    <row r="100" spans="1:7" x14ac:dyDescent="0.35">
      <c r="A100" t="s">
        <v>119</v>
      </c>
      <c r="F100">
        <f>AVERAGE(SUM(191.1+1452.76+4306.63+3843.43)/4)</f>
        <v>2448.48</v>
      </c>
      <c r="G100">
        <f>AVERAGE(SUM(85.6+86.08+89.22+87.71)/3)</f>
        <v>116.20333333333332</v>
      </c>
    </row>
    <row r="102" spans="1:7" x14ac:dyDescent="0.35">
      <c r="A102" t="s">
        <v>33</v>
      </c>
      <c r="B102" t="s">
        <v>94</v>
      </c>
      <c r="C102" t="s">
        <v>34</v>
      </c>
      <c r="D102">
        <v>2</v>
      </c>
      <c r="E102">
        <v>4</v>
      </c>
    </row>
    <row r="103" spans="1:7" x14ac:dyDescent="0.35">
      <c r="A103" t="s">
        <v>110</v>
      </c>
      <c r="F103">
        <f>AVERAGE(SUM(2085.62+2603.39+1917.66)/3)</f>
        <v>2202.2233333333334</v>
      </c>
      <c r="G103">
        <f>AVERAGE(SUM(48.74+49.61+49.81)/3)</f>
        <v>49.386666666666663</v>
      </c>
    </row>
    <row r="104" spans="1:7" x14ac:dyDescent="0.35">
      <c r="A104" t="s">
        <v>109</v>
      </c>
      <c r="F104">
        <f>AVERAGE(SUM(2203.94+2444.98+2054.02+2169.84)/4)</f>
        <v>2218.1950000000002</v>
      </c>
      <c r="G104">
        <f>AVERAGE(SUM(44.81+52.22+46+49.87)/4)</f>
        <v>48.225000000000001</v>
      </c>
    </row>
    <row r="105" spans="1:7" x14ac:dyDescent="0.35">
      <c r="A105" t="s">
        <v>108</v>
      </c>
      <c r="F105">
        <f>AVERAGE(SUM(59625+2263.1+2126.35)/3)</f>
        <v>21338.149999999998</v>
      </c>
      <c r="G105">
        <f>AVERAGE(SUM(46.39+46.86+46.81)/3)</f>
        <v>46.686666666666667</v>
      </c>
    </row>
    <row r="106" spans="1:7" x14ac:dyDescent="0.35">
      <c r="A106" t="s">
        <v>111</v>
      </c>
      <c r="F106">
        <f>AVERAGE(SUM(2220.22+2284.02)/2)</f>
        <v>2252.12</v>
      </c>
      <c r="G106">
        <f>AVERAGE(SUM(50.27+49.09)/2)</f>
        <v>49.680000000000007</v>
      </c>
    </row>
    <row r="107" spans="1:7" x14ac:dyDescent="0.35">
      <c r="A107" t="s">
        <v>119</v>
      </c>
      <c r="F107">
        <v>2243.59</v>
      </c>
      <c r="G107">
        <v>49.1</v>
      </c>
    </row>
    <row r="109" spans="1:7" x14ac:dyDescent="0.35">
      <c r="A109" t="s">
        <v>36</v>
      </c>
      <c r="B109" t="s">
        <v>94</v>
      </c>
      <c r="C109" t="s">
        <v>35</v>
      </c>
      <c r="D109">
        <v>2</v>
      </c>
      <c r="E109">
        <v>4</v>
      </c>
    </row>
    <row r="110" spans="1:7" s="7" customFormat="1" x14ac:dyDescent="0.35">
      <c r="A110" s="7" t="s">
        <v>110</v>
      </c>
      <c r="F110" s="7">
        <f>AVERAGE(SUM(179.76+1567.58+4043.78)/3)</f>
        <v>1930.3733333333332</v>
      </c>
      <c r="G110" s="7">
        <f>AVERAGE(SUM(19.5+18.96+18.26)/3)</f>
        <v>18.906666666666666</v>
      </c>
    </row>
    <row r="111" spans="1:7" s="8" customFormat="1" x14ac:dyDescent="0.35">
      <c r="A111" s="8" t="s">
        <v>109</v>
      </c>
      <c r="F111" s="8">
        <f>AVERAGE(SUM(1535.76+9170.11+308.48+8747.87)/4)</f>
        <v>4940.5550000000003</v>
      </c>
      <c r="G111" s="8">
        <f>AVERAGE(SUM(17.67+17.36+17.51+17.4)/4)</f>
        <v>17.484999999999999</v>
      </c>
    </row>
    <row r="112" spans="1:7" s="7" customFormat="1" x14ac:dyDescent="0.35">
      <c r="A112" s="7" t="s">
        <v>108</v>
      </c>
      <c r="F112" s="7">
        <f>AVERAGE(SUM(291.31+8282.23+308.16)/3)</f>
        <v>2960.5666666666662</v>
      </c>
      <c r="G112" s="7">
        <f>AVERAGE(SUM(17.55+17.48+17.5)/3)</f>
        <v>17.510000000000002</v>
      </c>
    </row>
    <row r="113" spans="1:7" x14ac:dyDescent="0.35">
      <c r="A113" t="s">
        <v>111</v>
      </c>
      <c r="F113">
        <f>AVERAGE(SUM(1824.03+316.41+304.74+308.77)/4)</f>
        <v>688.48750000000007</v>
      </c>
      <c r="G113">
        <f>AVERAGE(SUM(17.47+17.41+17.45+17.45)/4)</f>
        <v>17.445</v>
      </c>
    </row>
    <row r="114" spans="1:7" x14ac:dyDescent="0.35">
      <c r="A114" t="s">
        <v>119</v>
      </c>
      <c r="F114">
        <f>AVERAGE(SUM(304.22+311.37+7612.89)/3)</f>
        <v>2742.8266666666664</v>
      </c>
      <c r="G114">
        <f>AVERAGE(SUM(17.47+17.91+17.68)/3)</f>
        <v>17.686666666666664</v>
      </c>
    </row>
    <row r="116" spans="1:7" x14ac:dyDescent="0.35">
      <c r="A116" t="s">
        <v>37</v>
      </c>
      <c r="B116" t="s">
        <v>94</v>
      </c>
      <c r="C116" t="s">
        <v>38</v>
      </c>
      <c r="D116">
        <v>2</v>
      </c>
      <c r="E116">
        <v>4</v>
      </c>
    </row>
    <row r="117" spans="1:7" x14ac:dyDescent="0.35">
      <c r="A117" t="s">
        <v>110</v>
      </c>
      <c r="F117">
        <f>AVERAGE(SUM(186.11+2382.34+23627.48)/3)</f>
        <v>8731.9766666666674</v>
      </c>
      <c r="G117">
        <f>AVERAGE(SUM(90.81+89.47+86.2)/3)</f>
        <v>88.826666666666668</v>
      </c>
    </row>
    <row r="118" spans="1:7" s="5" customFormat="1" x14ac:dyDescent="0.35">
      <c r="A118" s="5" t="s">
        <v>109</v>
      </c>
      <c r="F118" s="5">
        <f>AVERAGE(SUM(11002.32+37701.11+2348.44)/3)</f>
        <v>17017.29</v>
      </c>
      <c r="G118" s="5">
        <f>AVERAGE(SUM(83.49+79.63+80.13)/3)</f>
        <v>81.083333333333329</v>
      </c>
    </row>
    <row r="119" spans="1:7" x14ac:dyDescent="0.35">
      <c r="A119" t="s">
        <v>108</v>
      </c>
      <c r="F119">
        <f>AVERAGE(SUM(2318.35+25389.22+34755.28)/3)</f>
        <v>20820.95</v>
      </c>
      <c r="G119">
        <f>AVERAGE(SUM(82.7+81.15+79.4)/3)</f>
        <v>81.083333333333343</v>
      </c>
    </row>
    <row r="120" spans="1:7" x14ac:dyDescent="0.35">
      <c r="A120" t="s">
        <v>111</v>
      </c>
      <c r="F120">
        <f>AVERAGE(SUM(39117.63+2461.44)/2)</f>
        <v>20789.535</v>
      </c>
      <c r="G120">
        <f>AVERAGE(SUM(80.42+80.4)/2)</f>
        <v>80.41</v>
      </c>
    </row>
    <row r="121" spans="1:7" x14ac:dyDescent="0.35">
      <c r="A121" t="s">
        <v>119</v>
      </c>
      <c r="F121">
        <f>AVERAGE(SUM(2403.33+44139.56+2422.02)/3)</f>
        <v>16321.636666666665</v>
      </c>
      <c r="G121">
        <f>AVERAGE(SUM(81.83+80.22+81.41)/3)</f>
        <v>81.153333333333336</v>
      </c>
    </row>
    <row r="123" spans="1:7" x14ac:dyDescent="0.35">
      <c r="A123" t="s">
        <v>39</v>
      </c>
      <c r="C123" t="s">
        <v>13</v>
      </c>
      <c r="D123">
        <v>2</v>
      </c>
      <c r="E123">
        <v>4</v>
      </c>
    </row>
    <row r="124" spans="1:7" x14ac:dyDescent="0.35">
      <c r="A124" t="s">
        <v>110</v>
      </c>
      <c r="F124">
        <f>AVERAGE(SUM(1305.53+1432.14+1377.93)/3)</f>
        <v>1371.8666666666668</v>
      </c>
      <c r="G124">
        <f>AVERAGE(SUM(58.62+58.18+58.59)/3)</f>
        <v>58.463333333333331</v>
      </c>
    </row>
    <row r="125" spans="1:7" s="5" customFormat="1" x14ac:dyDescent="0.35">
      <c r="A125" s="5" t="s">
        <v>109</v>
      </c>
      <c r="F125" s="5">
        <f>AVERAGE(SUM(7741.97+14739.3+1372.3)/3)</f>
        <v>7951.19</v>
      </c>
      <c r="G125" s="5">
        <f>AVERAGE(SUM(59.67+58.18+58.59)/3)</f>
        <v>58.813333333333333</v>
      </c>
    </row>
    <row r="126" spans="1:7" s="5" customFormat="1" x14ac:dyDescent="0.35">
      <c r="A126" s="5" t="s">
        <v>108</v>
      </c>
      <c r="F126" s="5">
        <f>AVERAGE(SUM(1426.53+16944.08+5644.71)/3)</f>
        <v>8005.1066666666666</v>
      </c>
      <c r="G126" s="5">
        <f>AVERAGE(SUM(63.3+60.08+58.36)/3)</f>
        <v>60.580000000000005</v>
      </c>
    </row>
    <row r="127" spans="1:7" x14ac:dyDescent="0.35">
      <c r="A127" t="s">
        <v>111</v>
      </c>
      <c r="F127">
        <f>AVERAGE(SUM(1377.12+1378.86+1313.55)/3)</f>
        <v>1356.51</v>
      </c>
      <c r="G127">
        <f>AVERAGE(SUM(58.76+58.65+58.9)/3)</f>
        <v>58.77</v>
      </c>
    </row>
    <row r="128" spans="1:7" x14ac:dyDescent="0.35">
      <c r="A128" t="s">
        <v>119</v>
      </c>
      <c r="F128">
        <f>AVERAGE(SUM(1385.95+1357.53+31122.24)/3)</f>
        <v>11288.573333333334</v>
      </c>
      <c r="G128">
        <f>AVERAGE(SUM(58.67+59.31+58.22)/3)</f>
        <v>58.733333333333327</v>
      </c>
    </row>
    <row r="130" spans="1:7" s="5" customFormat="1" x14ac:dyDescent="0.35">
      <c r="A130" s="5" t="s">
        <v>40</v>
      </c>
      <c r="C130" s="5" t="s">
        <v>16</v>
      </c>
      <c r="G130" s="5" t="s">
        <v>130</v>
      </c>
    </row>
    <row r="131" spans="1:7" x14ac:dyDescent="0.35">
      <c r="A131" t="s">
        <v>110</v>
      </c>
    </row>
    <row r="132" spans="1:7" x14ac:dyDescent="0.35">
      <c r="A132" t="s">
        <v>109</v>
      </c>
    </row>
    <row r="133" spans="1:7" x14ac:dyDescent="0.35">
      <c r="A133" t="s">
        <v>108</v>
      </c>
    </row>
    <row r="134" spans="1:7" x14ac:dyDescent="0.35">
      <c r="A134" t="s">
        <v>111</v>
      </c>
    </row>
    <row r="135" spans="1:7" x14ac:dyDescent="0.35">
      <c r="A135" t="s">
        <v>119</v>
      </c>
    </row>
    <row r="137" spans="1:7" s="5" customFormat="1" x14ac:dyDescent="0.35">
      <c r="A137" s="5" t="s">
        <v>41</v>
      </c>
      <c r="C137" s="5" t="s">
        <v>8</v>
      </c>
      <c r="D137" s="5">
        <v>2</v>
      </c>
      <c r="E137" s="5">
        <v>4</v>
      </c>
    </row>
    <row r="138" spans="1:7" s="6" customFormat="1" x14ac:dyDescent="0.35">
      <c r="A138" s="6" t="s">
        <v>110</v>
      </c>
      <c r="F138" s="6">
        <f>AVERAGE(SUM(2167.66+2547.76+19066.23)/3)</f>
        <v>7927.2166666666672</v>
      </c>
      <c r="G138" s="6">
        <f>AVERAGE(SUM(98.18+101.25+97.58)/3)</f>
        <v>99.00333333333333</v>
      </c>
    </row>
    <row r="139" spans="1:7" s="5" customFormat="1" x14ac:dyDescent="0.35">
      <c r="A139" s="5" t="s">
        <v>109</v>
      </c>
      <c r="F139" s="5">
        <f>AVERAGE(SUM(2480.06+2575.86+38702.47)/3)</f>
        <v>14586.13</v>
      </c>
      <c r="G139" s="5">
        <f>AVERAGE(SUM(98.53+100.33+96.83)/3)</f>
        <v>98.563333333333333</v>
      </c>
    </row>
    <row r="140" spans="1:7" x14ac:dyDescent="0.35">
      <c r="A140" t="s">
        <v>108</v>
      </c>
      <c r="F140">
        <f>AVERAGE(SUM(2488.19+45781.24+46797.13)/3)</f>
        <v>31688.853333333333</v>
      </c>
      <c r="G140">
        <f>AVERAGE(SUM(100.81+95.61+95.21)/3)</f>
        <v>97.21</v>
      </c>
    </row>
    <row r="141" spans="1:7" x14ac:dyDescent="0.35">
      <c r="A141" t="s">
        <v>111</v>
      </c>
      <c r="F141">
        <f>AVERAGE(SUM(2492.58+2520.19+2439.33)/3)</f>
        <v>2484.0333333333333</v>
      </c>
      <c r="G141">
        <f>AVERAGE(SUM(97.23+97.22+99.86)/3)</f>
        <v>98.103333333333339</v>
      </c>
    </row>
    <row r="142" spans="1:7" x14ac:dyDescent="0.35">
      <c r="A142" t="s">
        <v>119</v>
      </c>
      <c r="F142">
        <f>AVERAGE(SUM(38204.83+2522.02+38589.84)/3)</f>
        <v>26438.896666666667</v>
      </c>
      <c r="G142">
        <f>AVERAGE(SUM(96.23+98.23+95.05)/3)</f>
        <v>96.50333333333333</v>
      </c>
    </row>
    <row r="144" spans="1:7" s="5" customFormat="1" x14ac:dyDescent="0.35">
      <c r="A144" s="5" t="s">
        <v>42</v>
      </c>
      <c r="C144" s="5" t="s">
        <v>35</v>
      </c>
      <c r="D144" s="5">
        <v>2</v>
      </c>
      <c r="E144" s="5">
        <v>4</v>
      </c>
    </row>
    <row r="145" spans="1:7" x14ac:dyDescent="0.35">
      <c r="A145" t="s">
        <v>110</v>
      </c>
      <c r="F145">
        <f>AVERAGE(SUM(276.92+314.01+6677.76)/3)</f>
        <v>2422.896666666667</v>
      </c>
      <c r="G145">
        <f>AVERAGE(SUM(17.32+17.51+17.41)/3)</f>
        <v>17.41333333333333</v>
      </c>
    </row>
    <row r="146" spans="1:7" s="5" customFormat="1" x14ac:dyDescent="0.35">
      <c r="A146" s="5" t="s">
        <v>109</v>
      </c>
      <c r="F146" s="5">
        <f>AVERAGE(SUM(321.07+312.62+321.73)/3)</f>
        <v>318.47333333333336</v>
      </c>
      <c r="G146" s="5">
        <f>AVERAGE(SUM(17.34+17.62+17.23)/3)</f>
        <v>17.396666666666665</v>
      </c>
    </row>
    <row r="147" spans="1:7" s="5" customFormat="1" x14ac:dyDescent="0.35">
      <c r="A147" s="5" t="s">
        <v>108</v>
      </c>
      <c r="F147" s="5">
        <f>AVERAGE(SUM(305.78+307.49+319.04)/3)</f>
        <v>310.77</v>
      </c>
      <c r="G147" s="5">
        <f>AVERAGE(SUM(17.31+17.35+17.35)/3)</f>
        <v>17.336666666666666</v>
      </c>
    </row>
    <row r="148" spans="1:7" x14ac:dyDescent="0.35">
      <c r="A148" t="s">
        <v>111</v>
      </c>
      <c r="F148">
        <f>AVERAGE(SUM(286.27+8722.59+305.03)/3)</f>
        <v>3104.6300000000006</v>
      </c>
      <c r="G148">
        <f>AVERAGE(SUM(17.57+17.41+17.39)/3)</f>
        <v>17.456666666666667</v>
      </c>
    </row>
    <row r="149" spans="1:7" x14ac:dyDescent="0.35">
      <c r="A149" t="s">
        <v>119</v>
      </c>
      <c r="F149">
        <f>AVERAGE(SUM(316.4+320.05+311.58)/3)</f>
        <v>316.01</v>
      </c>
      <c r="G149">
        <f>AVERAGE(SUM(17.41+17.31+17.32)/3)</f>
        <v>17.346666666666668</v>
      </c>
    </row>
    <row r="151" spans="1:7" x14ac:dyDescent="0.35">
      <c r="A151" t="s">
        <v>43</v>
      </c>
      <c r="D151">
        <v>2</v>
      </c>
      <c r="E151">
        <v>4</v>
      </c>
    </row>
    <row r="152" spans="1:7" x14ac:dyDescent="0.35">
      <c r="A152" t="s">
        <v>110</v>
      </c>
      <c r="F152">
        <f>AVERAGE(SUM(105.26+39300)/2)</f>
        <v>19702.63</v>
      </c>
      <c r="G152">
        <f>AVERAGE(SUM(73.82+83.47+78.77)/3)</f>
        <v>78.686666666666667</v>
      </c>
    </row>
    <row r="153" spans="1:7" x14ac:dyDescent="0.35">
      <c r="A153" t="s">
        <v>109</v>
      </c>
      <c r="F153">
        <f>AVERAGE(SUM(70153.85+98300+2553.8)/3)</f>
        <v>57002.549999999996</v>
      </c>
      <c r="G153">
        <f>AVERAGE(SUM(71.82+69.7+76.5)/3)</f>
        <v>72.673333333333332</v>
      </c>
    </row>
    <row r="154" spans="1:7" x14ac:dyDescent="0.35">
      <c r="A154" t="s">
        <v>108</v>
      </c>
      <c r="F154">
        <f>AVERAGE(SUM(108307.69+110187.5+2865.91)/3)</f>
        <v>73787.03333333334</v>
      </c>
      <c r="G154">
        <f>AVERAGE(SUM(75.07+79.23+73.56)/3)</f>
        <v>75.953333333333333</v>
      </c>
    </row>
    <row r="155" spans="1:7" x14ac:dyDescent="0.35">
      <c r="A155" t="s">
        <v>111</v>
      </c>
      <c r="F155">
        <f>AVERAGE(SUM(2813.12+3856.94)/2)</f>
        <v>3335.0299999999997</v>
      </c>
      <c r="G155">
        <f>AVERAGE(SUM(73.34+76.76)/2)</f>
        <v>75.050000000000011</v>
      </c>
    </row>
    <row r="156" spans="1:7" x14ac:dyDescent="0.35">
      <c r="A156" t="s">
        <v>119</v>
      </c>
      <c r="F156">
        <f>AVERAGE(SUM(2711.77 + 2723.4)/2)</f>
        <v>2717.585</v>
      </c>
      <c r="G156">
        <f>AVERAGE(SUM(68.49+74.21)/2)</f>
        <v>71.349999999999994</v>
      </c>
    </row>
    <row r="158" spans="1:7" x14ac:dyDescent="0.35">
      <c r="A158" t="s">
        <v>44</v>
      </c>
      <c r="C158" t="s">
        <v>35</v>
      </c>
      <c r="D158">
        <v>2</v>
      </c>
      <c r="E158">
        <v>4</v>
      </c>
    </row>
    <row r="159" spans="1:7" x14ac:dyDescent="0.35">
      <c r="A159" t="s">
        <v>110</v>
      </c>
      <c r="F159">
        <f>AVERAGE(SUM(186.11+1674.32+2321.48)/3)</f>
        <v>1393.97</v>
      </c>
      <c r="G159">
        <f>AVERAGE(SUM(90.81+80.47+84.2)/3)</f>
        <v>85.160000000000011</v>
      </c>
    </row>
    <row r="160" spans="1:7" x14ac:dyDescent="0.35">
      <c r="A160" t="s">
        <v>109</v>
      </c>
      <c r="F160" s="5">
        <f>AVERAGE(SUM(11002.32+3701.11+4351.44)/3)</f>
        <v>6351.623333333333</v>
      </c>
      <c r="G160" s="5">
        <f>AVERAGE(SUM(80.49+79.63+88.13)/3)</f>
        <v>82.75</v>
      </c>
    </row>
    <row r="161" spans="1:7" x14ac:dyDescent="0.35">
      <c r="A161" t="s">
        <v>108</v>
      </c>
      <c r="F161">
        <f>AVERAGE(SUM(2488.35+35389.22+5455.28)/3)</f>
        <v>14444.283333333333</v>
      </c>
      <c r="G161">
        <f>AVERAGE(SUM(82.7+81.15+79.4)/3)</f>
        <v>81.083333333333343</v>
      </c>
    </row>
    <row r="162" spans="1:7" x14ac:dyDescent="0.35">
      <c r="A162" t="s">
        <v>111</v>
      </c>
      <c r="F162">
        <f>AVERAGE(SUM(39117.63+2461.44+1798.2)/3)</f>
        <v>14459.089999999998</v>
      </c>
      <c r="G162">
        <f>AVERAGE(SUM(80.42+80.4+80.56)/3)</f>
        <v>80.459999999999994</v>
      </c>
    </row>
    <row r="163" spans="1:7" x14ac:dyDescent="0.35">
      <c r="A163" t="s">
        <v>119</v>
      </c>
      <c r="F163">
        <f>AVERAGE(SUM(2503.13+4139.56+2422.02)/3)</f>
        <v>3021.57</v>
      </c>
      <c r="G163">
        <f>AVERAGE(SUM(81.83+80.22+81.41)/3)</f>
        <v>81.153333333333336</v>
      </c>
    </row>
    <row r="165" spans="1:7" x14ac:dyDescent="0.35">
      <c r="A165" t="s">
        <v>45</v>
      </c>
      <c r="C165" t="s">
        <v>7</v>
      </c>
      <c r="D165">
        <v>2</v>
      </c>
      <c r="E165">
        <v>4</v>
      </c>
    </row>
    <row r="166" spans="1:7" x14ac:dyDescent="0.35">
      <c r="A166" t="s">
        <v>110</v>
      </c>
      <c r="F166">
        <f>AVERAGE(SUM(4502.3+6724.12+3590.15)/3)</f>
        <v>4938.8566666666666</v>
      </c>
      <c r="G166">
        <f>AVERAGE(SUM(73.22+75.9+79.11)/3)</f>
        <v>76.076666666666668</v>
      </c>
    </row>
    <row r="167" spans="1:7" x14ac:dyDescent="0.35">
      <c r="A167" t="s">
        <v>109</v>
      </c>
      <c r="F167">
        <f>AVERAGE(SUM(5321.8+13290.9+6318.12)/3)</f>
        <v>8310.2733333333326</v>
      </c>
      <c r="G167">
        <f>AVERAGE(SUM(80.11+76.19+74.64)/3)</f>
        <v>76.98</v>
      </c>
    </row>
    <row r="168" spans="1:7" x14ac:dyDescent="0.35">
      <c r="A168" t="s">
        <v>108</v>
      </c>
      <c r="F168">
        <f>AVERAGE(SUM(6741.1+5419.6+7126.73)/3)</f>
        <v>6429.1433333333334</v>
      </c>
      <c r="G168">
        <f>AVERAGE(SUM(69.4+73.99+78.2)/3)</f>
        <v>73.86333333333333</v>
      </c>
    </row>
    <row r="169" spans="1:7" x14ac:dyDescent="0.35">
      <c r="A169" t="s">
        <v>111</v>
      </c>
      <c r="F169">
        <f>AVERAGE(SUM(2513.54+3543.01+3190.7)/3)</f>
        <v>3082.4166666666665</v>
      </c>
      <c r="G169">
        <f>AVERAGE(SUM(71.21+75.82+78.44)/3)</f>
        <v>75.156666666666652</v>
      </c>
    </row>
    <row r="170" spans="1:7" x14ac:dyDescent="0.35">
      <c r="A170" t="s">
        <v>119</v>
      </c>
      <c r="F170">
        <f>AVERAGE(SUM(1110.45+5659.7+2380.9)/3)</f>
        <v>3050.35</v>
      </c>
      <c r="G170">
        <f>AVERAGE(SUM(73.29+70.99+79.54)/3)</f>
        <v>74.606666666666669</v>
      </c>
    </row>
    <row r="172" spans="1:7" x14ac:dyDescent="0.35">
      <c r="A172" t="s">
        <v>46</v>
      </c>
      <c r="B172" t="s">
        <v>94</v>
      </c>
      <c r="C172" t="s">
        <v>47</v>
      </c>
      <c r="D172">
        <v>2</v>
      </c>
      <c r="E172">
        <v>4</v>
      </c>
    </row>
    <row r="173" spans="1:7" x14ac:dyDescent="0.35">
      <c r="A173" t="s">
        <v>110</v>
      </c>
      <c r="F173">
        <f>AVERAGE(SUM(1363.04+1319.11)/2)</f>
        <v>1341.0749999999998</v>
      </c>
      <c r="G173">
        <f>AVERAGE(SUM(62.04+56.62)/2)</f>
        <v>59.33</v>
      </c>
    </row>
    <row r="174" spans="1:7" x14ac:dyDescent="0.35">
      <c r="A174" t="s">
        <v>109</v>
      </c>
      <c r="F174">
        <f>AVERAGE(SUM(1317.58+93.29+1449.887+532.67)/3)</f>
        <v>1131.1423333333332</v>
      </c>
      <c r="G174">
        <f>AVERAGE(SUM(55.6+66.87+66.7+63.02)/3)</f>
        <v>84.063333333333347</v>
      </c>
    </row>
    <row r="175" spans="1:7" x14ac:dyDescent="0.35">
      <c r="A175" t="s">
        <v>108</v>
      </c>
      <c r="F175">
        <f>AVERAGE(SUM(624.69+3182.21)/2)</f>
        <v>1903.45</v>
      </c>
      <c r="G175">
        <f>AVERAGE(SUM(66.58+65.48)/2)</f>
        <v>66.03</v>
      </c>
    </row>
    <row r="176" spans="1:7" x14ac:dyDescent="0.35">
      <c r="A176" t="s">
        <v>111</v>
      </c>
      <c r="F176">
        <f>AVERAGE(SUM(3689.58+4484.94+5768.38)/3)</f>
        <v>4647.6333333333332</v>
      </c>
      <c r="G176">
        <f>AVERAGE(SUM(63.12+61.22+60.36)/3)</f>
        <v>61.566666666666663</v>
      </c>
    </row>
    <row r="177" spans="1:7" x14ac:dyDescent="0.35">
      <c r="A177" t="s">
        <v>119</v>
      </c>
      <c r="F177">
        <f>AVERAGE(SUM(1516+6383.8+1615.06)/3)</f>
        <v>3171.6200000000003</v>
      </c>
      <c r="G177">
        <f>AVERAGE(SUM(60.94+60.2+60.36)/3)</f>
        <v>60.5</v>
      </c>
    </row>
    <row r="179" spans="1:7" x14ac:dyDescent="0.35">
      <c r="A179" t="s">
        <v>48</v>
      </c>
      <c r="B179" t="s">
        <v>94</v>
      </c>
      <c r="C179" t="s">
        <v>49</v>
      </c>
      <c r="D179">
        <v>2</v>
      </c>
      <c r="E179">
        <v>4</v>
      </c>
    </row>
    <row r="180" spans="1:7" x14ac:dyDescent="0.35">
      <c r="A180" t="s">
        <v>110</v>
      </c>
      <c r="F180">
        <f>AVERAGE(SUM(72.43+378.21+888.96)/3)</f>
        <v>446.5333333333333</v>
      </c>
      <c r="G180">
        <f>AVERAGE(SUM(47.51+47.8+44.68)/3)</f>
        <v>46.663333333333334</v>
      </c>
    </row>
    <row r="181" spans="1:7" s="5" customFormat="1" x14ac:dyDescent="0.35">
      <c r="A181" s="5" t="s">
        <v>109</v>
      </c>
      <c r="F181" s="5">
        <f>AVERAGE(SUM(1529.27+3242.72+811.62)/3)</f>
        <v>1861.2033333333331</v>
      </c>
      <c r="G181" s="5">
        <f>AVERAGE(SUM(42.79+42.07+42.12)/3)</f>
        <v>42.326666666666661</v>
      </c>
    </row>
    <row r="182" spans="1:7" s="6" customFormat="1" x14ac:dyDescent="0.35">
      <c r="A182" s="6" t="s">
        <v>108</v>
      </c>
      <c r="F182" s="6">
        <f>AVERAGE(SUM(809.21+3970.37+788.4)/3)</f>
        <v>1855.9933333333331</v>
      </c>
      <c r="G182" s="6">
        <f>AVERAGE(SUM(42.57+42.27+43.22)/3)</f>
        <v>42.686666666666667</v>
      </c>
    </row>
    <row r="183" spans="1:7" x14ac:dyDescent="0.35">
      <c r="A183" t="s">
        <v>111</v>
      </c>
      <c r="F183">
        <f>AVERAGE(SUM(3674.8+824.89+867.02)/3)</f>
        <v>1788.9033333333336</v>
      </c>
      <c r="G183">
        <f>AVERAGE(SUM(42.18+42.26+42.36)/3)</f>
        <v>42.266666666666666</v>
      </c>
    </row>
    <row r="184" spans="1:7" x14ac:dyDescent="0.35">
      <c r="A184" t="s">
        <v>119</v>
      </c>
      <c r="F184">
        <f>AVERAGE(SUM(897.45+812.5+817.91)/3)</f>
        <v>842.62</v>
      </c>
      <c r="G184">
        <f>AVERAGE(SUM(44.44+42.44+41.94)/3)</f>
        <v>42.94</v>
      </c>
    </row>
    <row r="186" spans="1:7" s="5" customFormat="1" x14ac:dyDescent="0.35">
      <c r="A186" s="5" t="s">
        <v>50</v>
      </c>
      <c r="B186" s="5" t="s">
        <v>94</v>
      </c>
      <c r="C186" s="5" t="s">
        <v>51</v>
      </c>
      <c r="D186" s="5">
        <v>2</v>
      </c>
      <c r="E186" s="5">
        <v>4</v>
      </c>
    </row>
    <row r="187" spans="1:7" s="6" customFormat="1" x14ac:dyDescent="0.35">
      <c r="A187" s="6" t="s">
        <v>110</v>
      </c>
      <c r="F187" s="6">
        <f>AVERAGE(SUM(1676.74+4266.78+5421.48)/3)</f>
        <v>3788.3333333333335</v>
      </c>
      <c r="G187" s="6">
        <f>+AVERAGE(SUM(143.71+126.32+155.58)/3)</f>
        <v>141.87</v>
      </c>
    </row>
    <row r="188" spans="1:7" s="5" customFormat="1" x14ac:dyDescent="0.35">
      <c r="A188" s="5" t="s">
        <v>109</v>
      </c>
      <c r="F188" s="5">
        <v>218.03</v>
      </c>
      <c r="G188" s="5">
        <v>109.4</v>
      </c>
    </row>
    <row r="189" spans="1:7" x14ac:dyDescent="0.35">
      <c r="A189" t="s">
        <v>108</v>
      </c>
      <c r="F189">
        <f>AVERAGE(SUM(3857.28+11116.99,2341.95/3))</f>
        <v>15754.92</v>
      </c>
      <c r="G189">
        <f>AVERAGE(SUM(101.33+104.9+111.44)/3)</f>
        <v>105.89</v>
      </c>
    </row>
    <row r="190" spans="1:7" x14ac:dyDescent="0.35">
      <c r="A190" t="s">
        <v>111</v>
      </c>
      <c r="F190">
        <f>AVERAGE(SUM(3900.46+4024.79)/2)</f>
        <v>3962.625</v>
      </c>
      <c r="G190">
        <f>AVERAGE(SUM(107.99+108.29+105.68)/3)</f>
        <v>107.32000000000001</v>
      </c>
    </row>
    <row r="191" spans="1:7" x14ac:dyDescent="0.35">
      <c r="A191" t="s">
        <v>119</v>
      </c>
      <c r="F191">
        <f>AVERAGE(SUM(13077.6+15914.88+3182.12)/3)</f>
        <v>10724.866666666667</v>
      </c>
      <c r="G191">
        <f>AVERAGE(SUM(101.25+95.6+111.15)/3)</f>
        <v>102.66666666666667</v>
      </c>
    </row>
    <row r="193" spans="1:7" x14ac:dyDescent="0.35">
      <c r="A193" t="s">
        <v>52</v>
      </c>
      <c r="B193" t="s">
        <v>94</v>
      </c>
      <c r="C193" t="s">
        <v>53</v>
      </c>
      <c r="D193">
        <v>2</v>
      </c>
      <c r="E193">
        <v>4</v>
      </c>
    </row>
    <row r="194" spans="1:7" x14ac:dyDescent="0.35">
      <c r="A194" t="s">
        <v>110</v>
      </c>
      <c r="F194">
        <f>AVERAGE(SUM(1225.84+1150.53+12380.1)/3)</f>
        <v>4918.8233333333337</v>
      </c>
      <c r="G194">
        <f>+AVERAGE(SUM(61.44+66.87+65.2)/2)</f>
        <v>96.754999999999995</v>
      </c>
    </row>
    <row r="195" spans="1:7" x14ac:dyDescent="0.35">
      <c r="A195" t="s">
        <v>109</v>
      </c>
      <c r="F195">
        <f>+AVERAGE(SUM(6788.65+30318.18+1213.29)/3)</f>
        <v>12773.373333333335</v>
      </c>
      <c r="G195">
        <f>AVERAGE(SUM(64.31+62.87+67.27)/3)</f>
        <v>64.816666666666663</v>
      </c>
    </row>
    <row r="196" spans="1:7" x14ac:dyDescent="0.35">
      <c r="A196" t="s">
        <v>108</v>
      </c>
      <c r="F196">
        <f>AVERAGE(SUM(4681.54+3029.22+5831.55)/3)</f>
        <v>4514.1033333333335</v>
      </c>
      <c r="G196">
        <f>AVERAGE(SUM(93.76+92.51+99.26)/3)</f>
        <v>95.176666666666677</v>
      </c>
    </row>
    <row r="197" spans="1:7" x14ac:dyDescent="0.35">
      <c r="A197" t="s">
        <v>111</v>
      </c>
      <c r="F197">
        <f>AVERAGE(SUM(6265.03+4219.88+8427.31)/3)</f>
        <v>6304.0733333333337</v>
      </c>
      <c r="G197">
        <f>AVERAGE(SUM(98.16+93.6+91.03)/3)</f>
        <v>94.263333333333321</v>
      </c>
    </row>
    <row r="198" spans="1:7" x14ac:dyDescent="0.35">
      <c r="A198" t="s">
        <v>119</v>
      </c>
      <c r="F198">
        <f>AVERAGE(SUM(3798.49+5121.06+4210.96)/3)</f>
        <v>4376.8366666666661</v>
      </c>
      <c r="G198">
        <f>AVERAGE(SUM(96.16+97.66+90.87)/3)</f>
        <v>94.896666666666661</v>
      </c>
    </row>
    <row r="200" spans="1:7" x14ac:dyDescent="0.35">
      <c r="A200" t="s">
        <v>54</v>
      </c>
      <c r="B200" t="s">
        <v>94</v>
      </c>
      <c r="C200" t="s">
        <v>10</v>
      </c>
      <c r="D200">
        <v>2</v>
      </c>
      <c r="E200">
        <v>4</v>
      </c>
    </row>
    <row r="201" spans="1:7" s="6" customFormat="1" x14ac:dyDescent="0.35">
      <c r="A201" s="6" t="s">
        <v>110</v>
      </c>
      <c r="F201" s="6">
        <f>AVERAGE(SUM(4360.06+3808.03+3659.1)/3)</f>
        <v>3942.396666666667</v>
      </c>
      <c r="G201" s="6">
        <f>+AVERAGE(SUM(109.79+113.77+114.13)/3)</f>
        <v>112.56333333333333</v>
      </c>
    </row>
    <row r="202" spans="1:7" s="5" customFormat="1" x14ac:dyDescent="0.35">
      <c r="A202" s="5" t="s">
        <v>109</v>
      </c>
      <c r="F202" s="5">
        <f>AVERAGE(SUM(3957.52+3804.77+13880.3)/3)</f>
        <v>7214.1966666666667</v>
      </c>
      <c r="G202" s="5">
        <f>AVERAGE(SUM(113.86+117.46+112.86)/3)</f>
        <v>114.72666666666667</v>
      </c>
    </row>
    <row r="203" spans="1:7" x14ac:dyDescent="0.35">
      <c r="A203" t="s">
        <v>108</v>
      </c>
      <c r="F203">
        <f>AVERAGE(SUM(3681.54+13029.22+14831.55)/3)</f>
        <v>10514.103333333333</v>
      </c>
      <c r="G203">
        <f>AVERAGE(SUM(124.76+116.51+118.26)/3)</f>
        <v>119.84333333333335</v>
      </c>
    </row>
    <row r="204" spans="1:7" x14ac:dyDescent="0.35">
      <c r="A204" t="s">
        <v>111</v>
      </c>
      <c r="F204">
        <f>AVERAGE(SUM(14265.03+14219.88+19427.31)/3)</f>
        <v>15970.74</v>
      </c>
      <c r="G204">
        <f>AVERAGE(SUM(118.16+113.6+114.03)/3)</f>
        <v>115.26333333333332</v>
      </c>
    </row>
    <row r="205" spans="1:7" x14ac:dyDescent="0.35">
      <c r="A205" t="s">
        <v>119</v>
      </c>
      <c r="F205">
        <f>AVERAGE(SUM(3798.39+4122.06+4101.76)/3)</f>
        <v>4007.4033333333336</v>
      </c>
      <c r="G205">
        <f>AVERAGE(SUM(114.16+114.66+115.87)/3)</f>
        <v>114.89666666666666</v>
      </c>
    </row>
    <row r="207" spans="1:7" x14ac:dyDescent="0.35">
      <c r="A207" t="s">
        <v>55</v>
      </c>
      <c r="B207" t="s">
        <v>94</v>
      </c>
      <c r="C207" t="s">
        <v>10</v>
      </c>
      <c r="D207">
        <v>2</v>
      </c>
      <c r="E207">
        <v>4</v>
      </c>
    </row>
    <row r="208" spans="1:7" s="6" customFormat="1" x14ac:dyDescent="0.35">
      <c r="A208" s="6" t="s">
        <v>110</v>
      </c>
      <c r="F208" s="6">
        <f>AVERAGE(SUM(2628.48+3664.3+3748.42)/3)</f>
        <v>3347.0666666666671</v>
      </c>
      <c r="G208" s="6">
        <f>AVERAGE(SUM(108.31+111.18+108.08)/3)</f>
        <v>109.19</v>
      </c>
    </row>
    <row r="209" spans="1:7" s="5" customFormat="1" x14ac:dyDescent="0.35">
      <c r="A209" s="5" t="s">
        <v>109</v>
      </c>
      <c r="F209" s="5">
        <f>AVERAGE(SUM(37620.66+3817.82+3887.17)/3)</f>
        <v>15108.550000000001</v>
      </c>
      <c r="G209" s="5">
        <f>AVERAGE(SUM(108.92+107.38+107.38)/3)</f>
        <v>107.89333333333333</v>
      </c>
    </row>
    <row r="210" spans="1:7" x14ac:dyDescent="0.35">
      <c r="A210" t="s">
        <v>108</v>
      </c>
      <c r="F210">
        <f>AVERAGE(SUM(3857.28+11116.99/2))</f>
        <v>9415.7749999999996</v>
      </c>
      <c r="G210">
        <f>AVERAGE(SUM(111.33+103.92)/2)</f>
        <v>107.625</v>
      </c>
    </row>
    <row r="211" spans="1:7" x14ac:dyDescent="0.35">
      <c r="A211" t="s">
        <v>111</v>
      </c>
      <c r="F211">
        <f>AVERAGE(SUM(3900.46+4024.79)/2)</f>
        <v>3962.625</v>
      </c>
      <c r="G211">
        <f>AVERAGE(SUM(107.99+108.29)/2)</f>
        <v>108.14</v>
      </c>
    </row>
    <row r="212" spans="1:7" x14ac:dyDescent="0.35">
      <c r="A212" t="s">
        <v>119</v>
      </c>
      <c r="F212">
        <f>AVERAGE(SUM(12078.6+16924.88+3982.18)/3)</f>
        <v>10995.220000000001</v>
      </c>
      <c r="G212">
        <f>AVERAGE(SUM(110.25+95.46+115.15)/3)</f>
        <v>106.95333333333333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34CA-773E-4DF8-B9BC-84314CF5D9D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LM Studio</vt:lpstr>
      <vt:lpstr>OpenWebUI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Linjewile, Clara</dc:creator>
  <cp:lastModifiedBy>Linjewile, Clara</cp:lastModifiedBy>
  <dcterms:created xsi:type="dcterms:W3CDTF">2024-12-17T05:41:53Z</dcterms:created>
  <dcterms:modified xsi:type="dcterms:W3CDTF">2025-04-03T17:51:25Z</dcterms:modified>
</cp:coreProperties>
</file>